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oode\Douglas\ASCCS\for CD\CFST Column Database 2 2007-17\"/>
    </mc:Choice>
  </mc:AlternateContent>
  <xr:revisionPtr revIDLastSave="0" documentId="12_ncr:500000_{3AFD126B-0DC8-4AC8-9E17-C2DB90A31DD0}" xr6:coauthVersionLast="31" xr6:coauthVersionMax="31" xr10:uidLastSave="{00000000-0000-0000-0000-000000000000}"/>
  <bookViews>
    <workbookView xWindow="0" yWindow="0" windowWidth="20490" windowHeight="7230" xr2:uid="{00000000-000D-0000-FFFF-FFFF00000000}"/>
  </bookViews>
  <sheets>
    <sheet name="Summary" sheetId="3" r:id="rId1"/>
    <sheet name="Data" sheetId="1" r:id="rId2"/>
    <sheet name="Graphs" sheetId="2" r:id="rId3"/>
  </sheets>
  <definedNames>
    <definedName name="_xlnm.Print_Area" localSheetId="1">Data!$A$1:$AC$40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20" i="3"/>
  <c r="N32" i="3"/>
  <c r="N46" i="3"/>
  <c r="N44" i="3"/>
  <c r="N37" i="3"/>
  <c r="S11" i="1"/>
  <c r="N47" i="3" l="1"/>
  <c r="I255" i="2"/>
  <c r="E255" i="2"/>
  <c r="I116" i="2"/>
  <c r="E116" i="2"/>
  <c r="E112" i="2" a="1"/>
  <c r="E112" i="2" s="1"/>
  <c r="E113" i="2" a="1"/>
  <c r="E113" i="2" s="1"/>
  <c r="E114" i="2"/>
  <c r="I113" i="2" a="1"/>
  <c r="I113" i="2" s="1"/>
  <c r="I114" i="2" a="1"/>
  <c r="I114" i="2" s="1"/>
  <c r="I112" i="2" a="1"/>
  <c r="I112" i="2" s="1"/>
  <c r="G46" i="3" a="1"/>
  <c r="G46" i="3" s="1"/>
  <c r="D46" i="3"/>
  <c r="Q39" i="1"/>
  <c r="R39" i="1"/>
  <c r="S39" i="1"/>
  <c r="U39" i="1"/>
  <c r="T39" i="1"/>
  <c r="U11" i="1"/>
  <c r="I253" i="2" l="1" a="1"/>
  <c r="I253" i="2" s="1"/>
  <c r="E249" i="2" a="1"/>
  <c r="E249" i="2" s="1"/>
  <c r="E253" i="2" a="1"/>
  <c r="E253" i="2" s="1"/>
  <c r="I252" i="2" a="1"/>
  <c r="I252" i="2" s="1"/>
  <c r="E252" i="2" a="1"/>
  <c r="E252" i="2" s="1"/>
  <c r="E251" i="2"/>
  <c r="I251" i="2" a="1"/>
  <c r="I251" i="2" s="1"/>
  <c r="I250" i="2" a="1"/>
  <c r="I250" i="2" s="1"/>
  <c r="I249" i="2" l="1" a="1"/>
  <c r="I249" i="2" s="1"/>
  <c r="M44" i="3" l="1"/>
  <c r="M43" i="3"/>
  <c r="M37" i="3"/>
  <c r="M36" i="3"/>
  <c r="M32" i="3"/>
  <c r="M31" i="3"/>
  <c r="M20" i="3"/>
  <c r="M19" i="3"/>
  <c r="M15" i="3"/>
  <c r="M47" i="3" s="1"/>
  <c r="M14" i="3"/>
  <c r="M46" i="3" s="1"/>
  <c r="G10" i="3"/>
  <c r="H10" i="3" s="1"/>
  <c r="G12" i="3"/>
  <c r="H12" i="3"/>
  <c r="G13" i="3"/>
  <c r="H13" i="3" s="1"/>
  <c r="G16" i="3"/>
  <c r="H16" i="3"/>
  <c r="G17" i="3"/>
  <c r="H17" i="3" s="1"/>
  <c r="G18" i="3"/>
  <c r="H18" i="3"/>
  <c r="G21" i="3"/>
  <c r="H21" i="3" s="1"/>
  <c r="G22" i="3"/>
  <c r="H22" i="3" s="1"/>
  <c r="G23" i="3"/>
  <c r="H23" i="3" s="1"/>
  <c r="G24" i="3"/>
  <c r="H24" i="3"/>
  <c r="G25" i="3"/>
  <c r="H25" i="3" s="1"/>
  <c r="G26" i="3"/>
  <c r="H26" i="3"/>
  <c r="G27" i="3"/>
  <c r="H27" i="3" s="1"/>
  <c r="G28" i="3"/>
  <c r="H28" i="3"/>
  <c r="G29" i="3"/>
  <c r="H29" i="3" s="1"/>
  <c r="G30" i="3"/>
  <c r="H30" i="3" s="1"/>
  <c r="G33" i="3"/>
  <c r="H33" i="3" s="1"/>
  <c r="G34" i="3"/>
  <c r="H34" i="3"/>
  <c r="G35" i="3"/>
  <c r="H35" i="3" s="1"/>
  <c r="G38" i="3"/>
  <c r="H38" i="3"/>
  <c r="G39" i="3"/>
  <c r="H39" i="3" s="1"/>
  <c r="G40" i="3"/>
  <c r="H40" i="3"/>
  <c r="G41" i="3"/>
  <c r="H41" i="3" s="1"/>
  <c r="G42" i="3"/>
  <c r="H42" i="3" s="1"/>
  <c r="T11" i="1" l="1"/>
  <c r="W10" i="1"/>
  <c r="M10" i="1" s="1"/>
  <c r="X10" i="1"/>
  <c r="H10" i="1"/>
  <c r="G10" i="1"/>
  <c r="V10" i="1" l="1"/>
  <c r="Y10" i="1"/>
  <c r="R10" i="1"/>
  <c r="N10" i="1"/>
  <c r="S10" i="1" s="1"/>
  <c r="K10" i="1"/>
  <c r="Q10" i="1" s="1"/>
  <c r="T7" i="1"/>
  <c r="AC10" i="1" l="1"/>
  <c r="Z10" i="1"/>
  <c r="AA10" i="1"/>
  <c r="O10" i="1" s="1"/>
  <c r="T10" i="1" s="1"/>
  <c r="I10" i="1"/>
  <c r="AB10" i="1"/>
  <c r="R26" i="1"/>
  <c r="S26" i="1"/>
  <c r="T26" i="1"/>
  <c r="U26" i="1"/>
  <c r="Q26" i="1"/>
  <c r="P10" i="1" l="1"/>
  <c r="U10" i="1" s="1"/>
  <c r="G32" i="1"/>
  <c r="H32" i="1" s="1"/>
  <c r="W32" i="1"/>
  <c r="N32" i="1" s="1"/>
  <c r="S32" i="1" s="1"/>
  <c r="X32" i="1"/>
  <c r="G33" i="1"/>
  <c r="H33" i="1" s="1"/>
  <c r="W33" i="1"/>
  <c r="X33" i="1"/>
  <c r="G34" i="1"/>
  <c r="H34" i="1" s="1"/>
  <c r="W34" i="1"/>
  <c r="X34" i="1"/>
  <c r="G35" i="1"/>
  <c r="H35" i="1" s="1"/>
  <c r="W35" i="1"/>
  <c r="M35" i="1" s="1"/>
  <c r="X35" i="1"/>
  <c r="G36" i="1"/>
  <c r="H36" i="1" s="1"/>
  <c r="K36" i="1"/>
  <c r="Q36" i="1" s="1"/>
  <c r="W36" i="1"/>
  <c r="X36" i="1"/>
  <c r="K34" i="1" l="1"/>
  <c r="Q34" i="1" s="1"/>
  <c r="N35" i="1"/>
  <c r="S35" i="1" s="1"/>
  <c r="M33" i="1"/>
  <c r="Y33" i="1" s="1"/>
  <c r="N34" i="1"/>
  <c r="S34" i="1" s="1"/>
  <c r="M36" i="1"/>
  <c r="V36" i="1" s="1"/>
  <c r="N33" i="1"/>
  <c r="S33" i="1" s="1"/>
  <c r="K32" i="1"/>
  <c r="Q32" i="1" s="1"/>
  <c r="V33" i="1"/>
  <c r="Y35" i="1"/>
  <c r="R35" i="1"/>
  <c r="V35" i="1"/>
  <c r="N36" i="1"/>
  <c r="S36" i="1" s="1"/>
  <c r="K35" i="1"/>
  <c r="Q35" i="1" s="1"/>
  <c r="M34" i="1"/>
  <c r="K33" i="1"/>
  <c r="Q33" i="1" s="1"/>
  <c r="M32" i="1"/>
  <c r="V32" i="1" s="1"/>
  <c r="R33" i="1" l="1"/>
  <c r="R36" i="1"/>
  <c r="Y36" i="1"/>
  <c r="AB36" i="1" s="1"/>
  <c r="AC33" i="1"/>
  <c r="I33" i="1"/>
  <c r="Z33" i="1"/>
  <c r="AA33" i="1"/>
  <c r="AB33" i="1"/>
  <c r="Y34" i="1"/>
  <c r="R34" i="1"/>
  <c r="Y32" i="1"/>
  <c r="R32" i="1"/>
  <c r="AC35" i="1"/>
  <c r="I35" i="1"/>
  <c r="Z35" i="1"/>
  <c r="AA35" i="1"/>
  <c r="O35" i="1" s="1"/>
  <c r="T35" i="1" s="1"/>
  <c r="AB35" i="1"/>
  <c r="V34" i="1"/>
  <c r="Z36" i="1" l="1"/>
  <c r="AC36" i="1"/>
  <c r="AA36" i="1"/>
  <c r="I36" i="1"/>
  <c r="AA34" i="1"/>
  <c r="AB34" i="1"/>
  <c r="AC34" i="1"/>
  <c r="I34" i="1"/>
  <c r="Z34" i="1"/>
  <c r="P35" i="1"/>
  <c r="U35" i="1" s="1"/>
  <c r="AA32" i="1"/>
  <c r="AB32" i="1"/>
  <c r="AC32" i="1"/>
  <c r="I32" i="1"/>
  <c r="Z32" i="1"/>
  <c r="O33" i="1"/>
  <c r="T33" i="1" s="1"/>
  <c r="O34" i="1" l="1"/>
  <c r="T34" i="1" s="1"/>
  <c r="O36" i="1"/>
  <c r="T36" i="1" s="1"/>
  <c r="O32" i="1"/>
  <c r="T32" i="1" s="1"/>
  <c r="P33" i="1"/>
  <c r="U33" i="1" s="1"/>
  <c r="P34" i="1" l="1"/>
  <c r="U34" i="1" s="1"/>
  <c r="P36" i="1"/>
  <c r="U36" i="1" s="1"/>
  <c r="P32" i="1"/>
  <c r="U32" i="1" s="1"/>
  <c r="B253" i="2" l="1"/>
  <c r="E250" i="2" s="1" a="1"/>
  <c r="E250" i="2" s="1"/>
  <c r="W27" i="1" l="1"/>
  <c r="X27" i="1"/>
  <c r="W28" i="1"/>
  <c r="N28" i="1" s="1"/>
  <c r="S28" i="1" s="1"/>
  <c r="X28" i="1"/>
  <c r="W29" i="1"/>
  <c r="X29" i="1"/>
  <c r="W16" i="1"/>
  <c r="N16" i="1" s="1"/>
  <c r="S16" i="1" s="1"/>
  <c r="X16" i="1"/>
  <c r="W17" i="1"/>
  <c r="X17" i="1"/>
  <c r="W18" i="1"/>
  <c r="N18" i="1" s="1"/>
  <c r="S18" i="1" s="1"/>
  <c r="X18" i="1"/>
  <c r="W19" i="1"/>
  <c r="X19" i="1"/>
  <c r="W20" i="1"/>
  <c r="N20" i="1" s="1"/>
  <c r="S20" i="1" s="1"/>
  <c r="X20" i="1"/>
  <c r="W21" i="1"/>
  <c r="N21" i="1" s="1"/>
  <c r="S21" i="1" s="1"/>
  <c r="X21" i="1"/>
  <c r="W22" i="1"/>
  <c r="N22" i="1" s="1"/>
  <c r="S22" i="1" s="1"/>
  <c r="X22" i="1"/>
  <c r="W23" i="1"/>
  <c r="X23" i="1"/>
  <c r="W24" i="1"/>
  <c r="N24" i="1" s="1"/>
  <c r="S24" i="1" s="1"/>
  <c r="X24" i="1"/>
  <c r="W25" i="1"/>
  <c r="X25" i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7" i="1"/>
  <c r="H27" i="1" s="1"/>
  <c r="G28" i="1"/>
  <c r="H28" i="1" s="1"/>
  <c r="G29" i="1"/>
  <c r="H29" i="1" s="1"/>
  <c r="W12" i="1"/>
  <c r="N12" i="1" s="1"/>
  <c r="S12" i="1" s="1"/>
  <c r="X12" i="1"/>
  <c r="W13" i="1"/>
  <c r="X13" i="1"/>
  <c r="W14" i="1"/>
  <c r="X14" i="1"/>
  <c r="W9" i="1"/>
  <c r="W7" i="1"/>
  <c r="G12" i="1"/>
  <c r="H12" i="1" s="1"/>
  <c r="G13" i="1"/>
  <c r="H13" i="1" s="1"/>
  <c r="G14" i="1"/>
  <c r="H14" i="1" s="1"/>
  <c r="M19" i="1" l="1"/>
  <c r="V19" i="1" s="1"/>
  <c r="K13" i="1"/>
  <c r="Q13" i="1" s="1"/>
  <c r="K17" i="1"/>
  <c r="Q17" i="1" s="1"/>
  <c r="M16" i="1"/>
  <c r="R16" i="1" s="1"/>
  <c r="K14" i="1"/>
  <c r="Q14" i="1" s="1"/>
  <c r="N13" i="1"/>
  <c r="S13" i="1" s="1"/>
  <c r="M13" i="1"/>
  <c r="M12" i="1"/>
  <c r="V12" i="1" s="1"/>
  <c r="K25" i="1"/>
  <c r="Q25" i="1" s="1"/>
  <c r="S37" i="1"/>
  <c r="N25" i="1"/>
  <c r="S25" i="1" s="1"/>
  <c r="K23" i="1"/>
  <c r="Q23" i="1" s="1"/>
  <c r="N17" i="1"/>
  <c r="S17" i="1" s="1"/>
  <c r="M25" i="1"/>
  <c r="M17" i="1"/>
  <c r="M24" i="1"/>
  <c r="Y24" i="1" s="1"/>
  <c r="I24" i="1" s="1"/>
  <c r="K21" i="1"/>
  <c r="Q21" i="1" s="1"/>
  <c r="M21" i="1"/>
  <c r="M20" i="1"/>
  <c r="Y20" i="1" s="1"/>
  <c r="AC20" i="1" s="1"/>
  <c r="K29" i="1"/>
  <c r="Q29" i="1" s="1"/>
  <c r="M29" i="1"/>
  <c r="M28" i="1"/>
  <c r="V28" i="1" s="1"/>
  <c r="N29" i="1"/>
  <c r="S29" i="1" s="1"/>
  <c r="M27" i="1"/>
  <c r="V27" i="1" s="1"/>
  <c r="K28" i="1"/>
  <c r="Q28" i="1" s="1"/>
  <c r="N27" i="1"/>
  <c r="S27" i="1" s="1"/>
  <c r="K27" i="1"/>
  <c r="Q27" i="1" s="1"/>
  <c r="AA24" i="1"/>
  <c r="Y19" i="1"/>
  <c r="K19" i="1"/>
  <c r="Q19" i="1" s="1"/>
  <c r="K24" i="1"/>
  <c r="Q24" i="1" s="1"/>
  <c r="N23" i="1"/>
  <c r="S23" i="1" s="1"/>
  <c r="M22" i="1"/>
  <c r="K20" i="1"/>
  <c r="Q20" i="1" s="1"/>
  <c r="N19" i="1"/>
  <c r="S19" i="1" s="1"/>
  <c r="M18" i="1"/>
  <c r="K16" i="1"/>
  <c r="Q16" i="1" s="1"/>
  <c r="K22" i="1"/>
  <c r="Q22" i="1" s="1"/>
  <c r="K18" i="1"/>
  <c r="Q18" i="1" s="1"/>
  <c r="R24" i="1"/>
  <c r="M23" i="1"/>
  <c r="N14" i="1"/>
  <c r="S14" i="1" s="1"/>
  <c r="M14" i="1"/>
  <c r="K12" i="1"/>
  <c r="Q12" i="1" s="1"/>
  <c r="Q15" i="1" s="1"/>
  <c r="AB24" i="1" l="1"/>
  <c r="R19" i="1"/>
  <c r="Q30" i="1"/>
  <c r="Z24" i="1"/>
  <c r="O24" i="1" s="1"/>
  <c r="AC24" i="1"/>
  <c r="V16" i="1"/>
  <c r="Y16" i="1"/>
  <c r="AA16" i="1" s="1"/>
  <c r="S15" i="1"/>
  <c r="S30" i="1"/>
  <c r="Q37" i="1"/>
  <c r="AA20" i="1"/>
  <c r="V13" i="1"/>
  <c r="Y13" i="1"/>
  <c r="R13" i="1"/>
  <c r="V24" i="1"/>
  <c r="R12" i="1"/>
  <c r="Y12" i="1"/>
  <c r="R20" i="1"/>
  <c r="I20" i="1"/>
  <c r="Z20" i="1"/>
  <c r="AB20" i="1"/>
  <c r="R37" i="1"/>
  <c r="Y21" i="1"/>
  <c r="R21" i="1"/>
  <c r="V21" i="1"/>
  <c r="I16" i="1"/>
  <c r="V17" i="1"/>
  <c r="R17" i="1"/>
  <c r="Y17" i="1"/>
  <c r="Y25" i="1"/>
  <c r="R25" i="1"/>
  <c r="V20" i="1"/>
  <c r="V25" i="1"/>
  <c r="AB16" i="1"/>
  <c r="R28" i="1"/>
  <c r="Y28" i="1"/>
  <c r="Y29" i="1"/>
  <c r="R29" i="1"/>
  <c r="V29" i="1"/>
  <c r="Y27" i="1"/>
  <c r="R27" i="1"/>
  <c r="AB19" i="1"/>
  <c r="AC19" i="1"/>
  <c r="AA19" i="1"/>
  <c r="I19" i="1"/>
  <c r="Z19" i="1"/>
  <c r="V18" i="1"/>
  <c r="Y18" i="1"/>
  <c r="R18" i="1"/>
  <c r="Y23" i="1"/>
  <c r="R23" i="1"/>
  <c r="V22" i="1"/>
  <c r="Y22" i="1"/>
  <c r="R22" i="1"/>
  <c r="V23" i="1"/>
  <c r="Y14" i="1"/>
  <c r="R14" i="1"/>
  <c r="V14" i="1"/>
  <c r="Z16" i="1" l="1"/>
  <c r="O16" i="1" s="1"/>
  <c r="T24" i="1"/>
  <c r="P24" i="1"/>
  <c r="U24" i="1" s="1"/>
  <c r="AC16" i="1"/>
  <c r="O20" i="1"/>
  <c r="T20" i="1" s="1"/>
  <c r="O19" i="1"/>
  <c r="T19" i="1" s="1"/>
  <c r="R30" i="1"/>
  <c r="AC12" i="1"/>
  <c r="I12" i="1"/>
  <c r="Z12" i="1"/>
  <c r="AA12" i="1"/>
  <c r="AB12" i="1"/>
  <c r="R15" i="1"/>
  <c r="AA13" i="1"/>
  <c r="Z13" i="1"/>
  <c r="AB13" i="1"/>
  <c r="AC13" i="1"/>
  <c r="I13" i="1"/>
  <c r="AA17" i="1"/>
  <c r="Z17" i="1"/>
  <c r="I17" i="1"/>
  <c r="AB17" i="1"/>
  <c r="AC17" i="1"/>
  <c r="AA25" i="1"/>
  <c r="Z25" i="1"/>
  <c r="AB25" i="1"/>
  <c r="AC25" i="1"/>
  <c r="I25" i="1"/>
  <c r="AA21" i="1"/>
  <c r="AC21" i="1"/>
  <c r="I21" i="1"/>
  <c r="Z21" i="1"/>
  <c r="AB21" i="1"/>
  <c r="I29" i="1"/>
  <c r="Z29" i="1"/>
  <c r="AB29" i="1"/>
  <c r="AC29" i="1"/>
  <c r="AA29" i="1"/>
  <c r="AA28" i="1"/>
  <c r="AB28" i="1"/>
  <c r="I28" i="1"/>
  <c r="AC28" i="1"/>
  <c r="Z28" i="1"/>
  <c r="AC27" i="1"/>
  <c r="I27" i="1"/>
  <c r="AA27" i="1"/>
  <c r="Z27" i="1"/>
  <c r="AB27" i="1"/>
  <c r="T16" i="1"/>
  <c r="AA23" i="1"/>
  <c r="AB23" i="1"/>
  <c r="AC23" i="1"/>
  <c r="Z23" i="1"/>
  <c r="I23" i="1"/>
  <c r="I22" i="1"/>
  <c r="AB22" i="1"/>
  <c r="AC22" i="1"/>
  <c r="Z22" i="1"/>
  <c r="AA22" i="1"/>
  <c r="AB18" i="1"/>
  <c r="AA18" i="1"/>
  <c r="AC18" i="1"/>
  <c r="I18" i="1"/>
  <c r="Z18" i="1"/>
  <c r="AA14" i="1"/>
  <c r="AB14" i="1"/>
  <c r="AC14" i="1"/>
  <c r="I14" i="1"/>
  <c r="Z14" i="1"/>
  <c r="P16" i="1" l="1"/>
  <c r="U16" i="1" s="1"/>
  <c r="P19" i="1"/>
  <c r="U19" i="1" s="1"/>
  <c r="P20" i="1"/>
  <c r="U20" i="1" s="1"/>
  <c r="O13" i="1"/>
  <c r="T13" i="1" s="1"/>
  <c r="O21" i="1"/>
  <c r="T21" i="1" s="1"/>
  <c r="O12" i="1"/>
  <c r="T37" i="1"/>
  <c r="O17" i="1"/>
  <c r="T17" i="1" s="1"/>
  <c r="O22" i="1"/>
  <c r="T22" i="1" s="1"/>
  <c r="O25" i="1"/>
  <c r="T25" i="1" s="1"/>
  <c r="O29" i="1"/>
  <c r="O28" i="1"/>
  <c r="O27" i="1"/>
  <c r="T27" i="1" s="1"/>
  <c r="O18" i="1"/>
  <c r="T18" i="1" s="1"/>
  <c r="O23" i="1"/>
  <c r="T23" i="1" s="1"/>
  <c r="O14" i="1"/>
  <c r="T14" i="1" s="1"/>
  <c r="X9" i="1"/>
  <c r="M9" i="1" s="1"/>
  <c r="G9" i="1"/>
  <c r="H9" i="1" s="1"/>
  <c r="P13" i="1" l="1"/>
  <c r="U13" i="1" s="1"/>
  <c r="P22" i="1"/>
  <c r="U22" i="1" s="1"/>
  <c r="P21" i="1"/>
  <c r="U21" i="1" s="1"/>
  <c r="P12" i="1"/>
  <c r="U12" i="1" s="1"/>
  <c r="T12" i="1"/>
  <c r="T15" i="1" s="1"/>
  <c r="U37" i="1"/>
  <c r="P17" i="1"/>
  <c r="U17" i="1" s="1"/>
  <c r="P25" i="1"/>
  <c r="U25" i="1" s="1"/>
  <c r="P27" i="1"/>
  <c r="U27" i="1" s="1"/>
  <c r="T29" i="1"/>
  <c r="P29" i="1"/>
  <c r="U29" i="1" s="1"/>
  <c r="T28" i="1"/>
  <c r="P28" i="1"/>
  <c r="U28" i="1" s="1"/>
  <c r="P23" i="1"/>
  <c r="U23" i="1" s="1"/>
  <c r="P18" i="1"/>
  <c r="U18" i="1" s="1"/>
  <c r="P14" i="1"/>
  <c r="U14" i="1" s="1"/>
  <c r="Y9" i="1"/>
  <c r="R9" i="1"/>
  <c r="V9" i="1"/>
  <c r="N9" i="1"/>
  <c r="S9" i="1" s="1"/>
  <c r="K9" i="1"/>
  <c r="Q9" i="1" s="1"/>
  <c r="X7" i="1"/>
  <c r="G7" i="1"/>
  <c r="H7" i="1" s="1"/>
  <c r="T30" i="1" l="1"/>
  <c r="U15" i="1"/>
  <c r="U30" i="1"/>
  <c r="AB9" i="1"/>
  <c r="AA9" i="1"/>
  <c r="AC9" i="1"/>
  <c r="Z9" i="1"/>
  <c r="I9" i="1"/>
  <c r="M7" i="1"/>
  <c r="K7" i="1"/>
  <c r="Q7" i="1" s="1"/>
  <c r="N7" i="1"/>
  <c r="S7" i="1" s="1"/>
  <c r="O9" i="1" l="1"/>
  <c r="T9" i="1" s="1"/>
  <c r="Y7" i="1"/>
  <c r="V7" i="1"/>
  <c r="R7" i="1"/>
  <c r="P9" i="1" l="1"/>
  <c r="U9" i="1" s="1"/>
  <c r="AC7" i="1"/>
  <c r="AB7" i="1"/>
  <c r="AA7" i="1"/>
  <c r="Z7" i="1"/>
  <c r="I7" i="1"/>
  <c r="O7" i="1" l="1"/>
  <c r="P7" i="1" l="1"/>
  <c r="U7" i="1" s="1"/>
</calcChain>
</file>

<file path=xl/sharedStrings.xml><?xml version="1.0" encoding="utf-8"?>
<sst xmlns="http://schemas.openxmlformats.org/spreadsheetml/2006/main" count="445" uniqueCount="294">
  <si>
    <t>No Moment</t>
  </si>
  <si>
    <t>DATA</t>
  </si>
  <si>
    <t>local buckling if D/t &gt; 90*(235/fy)</t>
  </si>
  <si>
    <t>local</t>
  </si>
  <si>
    <t>Npl,Rd</t>
  </si>
  <si>
    <t>Ref. No.</t>
  </si>
  <si>
    <t xml:space="preserve">  Dia.</t>
  </si>
  <si>
    <t xml:space="preserve"> thick</t>
  </si>
  <si>
    <t xml:space="preserve">  Yield</t>
  </si>
  <si>
    <t xml:space="preserve"> f cyl</t>
  </si>
  <si>
    <t xml:space="preserve"> Length</t>
  </si>
  <si>
    <t>D/t</t>
  </si>
  <si>
    <t>buckling</t>
  </si>
  <si>
    <t>slender-</t>
  </si>
  <si>
    <t xml:space="preserve">  Test</t>
  </si>
  <si>
    <t xml:space="preserve"> Uniax.</t>
  </si>
  <si>
    <t>L/D</t>
  </si>
  <si>
    <t>EC4 no</t>
  </si>
  <si>
    <t xml:space="preserve"> Nu cdg</t>
  </si>
  <si>
    <t xml:space="preserve"> Nu EC4</t>
  </si>
  <si>
    <t xml:space="preserve"> K1*Nu</t>
  </si>
  <si>
    <t xml:space="preserve">  Test  </t>
  </si>
  <si>
    <t>Asfy</t>
  </si>
  <si>
    <t xml:space="preserve"> Ac</t>
  </si>
  <si>
    <t xml:space="preserve"> As</t>
  </si>
  <si>
    <t xml:space="preserve"> slend.</t>
  </si>
  <si>
    <t xml:space="preserve"> n10</t>
  </si>
  <si>
    <t xml:space="preserve"> n20</t>
  </si>
  <si>
    <t xml:space="preserve"> coeff.</t>
  </si>
  <si>
    <t xml:space="preserve"> K1</t>
  </si>
  <si>
    <t xml:space="preserve">   mm</t>
  </si>
  <si>
    <t xml:space="preserve"> N/mm2</t>
  </si>
  <si>
    <t>if &gt; 1</t>
  </si>
  <si>
    <t xml:space="preserve">  ness</t>
  </si>
  <si>
    <t xml:space="preserve">   kN</t>
  </si>
  <si>
    <t xml:space="preserve">  kN</t>
  </si>
  <si>
    <t>eta' kN</t>
  </si>
  <si>
    <t xml:space="preserve"> Nunia</t>
  </si>
  <si>
    <t>no eta</t>
  </si>
  <si>
    <t xml:space="preserve"> Nucdg</t>
  </si>
  <si>
    <t xml:space="preserve"> NuEC4</t>
  </si>
  <si>
    <t xml:space="preserve"> K1*EC</t>
  </si>
  <si>
    <t>NplRd</t>
  </si>
  <si>
    <t xml:space="preserve"> mm2</t>
  </si>
  <si>
    <t>Chi'</t>
  </si>
  <si>
    <t>RU11</t>
  </si>
  <si>
    <t>C4-0</t>
  </si>
  <si>
    <t>C13</t>
  </si>
  <si>
    <t>C14</t>
  </si>
  <si>
    <t>C15</t>
  </si>
  <si>
    <t>Giakoumelis</t>
  </si>
  <si>
    <t xml:space="preserve">  Test </t>
  </si>
  <si>
    <t>SZ5S4A1a</t>
  </si>
  <si>
    <t>SZ5S4A1b</t>
  </si>
  <si>
    <t>SZ5S3A1</t>
  </si>
  <si>
    <t>SZ3S6A1</t>
  </si>
  <si>
    <t>SZ3S4A1</t>
  </si>
  <si>
    <t>SZ3C4A1</t>
  </si>
  <si>
    <t>C30-1</t>
  </si>
  <si>
    <t>C30-2</t>
  </si>
  <si>
    <t>C30-3</t>
  </si>
  <si>
    <t>C30-4</t>
  </si>
  <si>
    <t>S1-2</t>
  </si>
  <si>
    <t>Ref: 135</t>
  </si>
  <si>
    <t>CST-16</t>
  </si>
  <si>
    <t>CST-17</t>
  </si>
  <si>
    <t>CST-18</t>
  </si>
  <si>
    <t>CF2.5-2</t>
  </si>
  <si>
    <t>CF2.5-3</t>
  </si>
  <si>
    <t>CF3-1</t>
  </si>
  <si>
    <t>CF3-2</t>
  </si>
  <si>
    <t>CF3-3</t>
  </si>
  <si>
    <t>CF3.3-1</t>
  </si>
  <si>
    <t>Elchalakani</t>
  </si>
  <si>
    <t>114/2.74</t>
  </si>
  <si>
    <t>114/5.9</t>
  </si>
  <si>
    <t>Ref: 142</t>
  </si>
  <si>
    <t>Ref:147</t>
  </si>
  <si>
    <t>Ref: 155</t>
  </si>
  <si>
    <t>Ref. 37</t>
  </si>
  <si>
    <t>Ref.40</t>
  </si>
  <si>
    <t>Matsui et al</t>
  </si>
  <si>
    <t>Yu et al</t>
  </si>
  <si>
    <t>Chang et al</t>
  </si>
  <si>
    <t>Av (3) =</t>
  </si>
  <si>
    <t>Av (10) =</t>
  </si>
  <si>
    <t>Overall</t>
  </si>
  <si>
    <t>L/D or</t>
  </si>
  <si>
    <t>L/b</t>
  </si>
  <si>
    <t>D2</t>
  </si>
  <si>
    <t>D4</t>
  </si>
  <si>
    <t>D6</t>
  </si>
  <si>
    <t>E1</t>
  </si>
  <si>
    <t>E6</t>
  </si>
  <si>
    <t>C12-0</t>
  </si>
  <si>
    <t>C18-0</t>
  </si>
  <si>
    <t>C24-0</t>
  </si>
  <si>
    <t>C30-0</t>
  </si>
  <si>
    <t>C90-2</t>
  </si>
  <si>
    <t>C150-1</t>
  </si>
  <si>
    <t>C150-2</t>
  </si>
  <si>
    <t>C300-1</t>
  </si>
  <si>
    <t>C300-2</t>
  </si>
  <si>
    <t>O57C30_30</t>
  </si>
  <si>
    <t>S1-4</t>
  </si>
  <si>
    <t>S1-5</t>
  </si>
  <si>
    <t>S1-6</t>
  </si>
  <si>
    <t>S1-7</t>
  </si>
  <si>
    <t>S1-8</t>
  </si>
  <si>
    <t>S1-9</t>
  </si>
  <si>
    <t>S1-10</t>
  </si>
  <si>
    <t>S1-11</t>
  </si>
  <si>
    <t>S1-12</t>
  </si>
  <si>
    <t>S2-1</t>
  </si>
  <si>
    <t>S2-2</t>
  </si>
  <si>
    <t>S2-3</t>
  </si>
  <si>
    <t>S2-4</t>
  </si>
  <si>
    <t>S2-5</t>
  </si>
  <si>
    <t>S2-6</t>
  </si>
  <si>
    <t>S2-7</t>
  </si>
  <si>
    <t>S2-8</t>
  </si>
  <si>
    <t>S2-9</t>
  </si>
  <si>
    <t>S2-10</t>
  </si>
  <si>
    <t>S2-11</t>
  </si>
  <si>
    <t>S2-12</t>
  </si>
  <si>
    <t>Ccfst-2</t>
  </si>
  <si>
    <t>UCFT2-1</t>
  </si>
  <si>
    <t>SA2</t>
  </si>
  <si>
    <t>SA3</t>
  </si>
  <si>
    <t>SA4</t>
  </si>
  <si>
    <t>SA5</t>
  </si>
  <si>
    <t>SA6</t>
  </si>
  <si>
    <t>RA1</t>
  </si>
  <si>
    <t>RA2</t>
  </si>
  <si>
    <t>RA3</t>
  </si>
  <si>
    <t>RA4</t>
  </si>
  <si>
    <t>S30-2</t>
  </si>
  <si>
    <t>S30-3</t>
  </si>
  <si>
    <t>S30-4</t>
  </si>
  <si>
    <t>S90-1</t>
  </si>
  <si>
    <t>S90-2</t>
  </si>
  <si>
    <t>S150-1</t>
  </si>
  <si>
    <t>S150-2</t>
  </si>
  <si>
    <t>S300-1</t>
  </si>
  <si>
    <t>S300-2</t>
  </si>
  <si>
    <t>Scfst-2</t>
  </si>
  <si>
    <t>SST1-B</t>
  </si>
  <si>
    <t>SST1-C</t>
  </si>
  <si>
    <t>SC2B</t>
  </si>
  <si>
    <t>SC3B</t>
  </si>
  <si>
    <t>SC4B</t>
  </si>
  <si>
    <t>HSSC1</t>
  </si>
  <si>
    <t>HSSC2</t>
  </si>
  <si>
    <t>HSSC3</t>
  </si>
  <si>
    <t>HSSC4</t>
  </si>
  <si>
    <t>HSSC5</t>
  </si>
  <si>
    <t>HSSC6</t>
  </si>
  <si>
    <t>HSSC7</t>
  </si>
  <si>
    <t>HSSC8</t>
  </si>
  <si>
    <t>CSC50SC3</t>
  </si>
  <si>
    <t>CSC40SB5</t>
  </si>
  <si>
    <t>CSC50SB6</t>
  </si>
  <si>
    <t>CSC40SD8</t>
  </si>
  <si>
    <t>CSC50SD9</t>
  </si>
  <si>
    <t>HS1C50SA4</t>
  </si>
  <si>
    <t>HS1C40SB2</t>
  </si>
  <si>
    <t>HS1C50SB8</t>
  </si>
  <si>
    <t>HS2C40SA61</t>
  </si>
  <si>
    <t>HS2C50SA64</t>
  </si>
  <si>
    <t>HS2C40SB62</t>
  </si>
  <si>
    <t>HS2C50SB65</t>
  </si>
  <si>
    <t>S1-3</t>
  </si>
  <si>
    <t>S3-1</t>
  </si>
  <si>
    <t>S3-2</t>
  </si>
  <si>
    <t>S3-3</t>
  </si>
  <si>
    <t>S3-4</t>
  </si>
  <si>
    <t>S3-5</t>
  </si>
  <si>
    <t>CB15-SL1(B)</t>
  </si>
  <si>
    <t>CB15-SL1(C)</t>
  </si>
  <si>
    <t>CB20-SL1(A)</t>
  </si>
  <si>
    <t>CB20-SL1(B)</t>
  </si>
  <si>
    <t>CB20-SL1(C)</t>
  </si>
  <si>
    <t>CB25-SL1(A)</t>
  </si>
  <si>
    <t>CB25-SL1(B)</t>
  </si>
  <si>
    <t>CB25-SL1(C)</t>
  </si>
  <si>
    <t>CB15-SL2(B)</t>
  </si>
  <si>
    <t>CB15-SL2(C)</t>
  </si>
  <si>
    <t>CB20-SL2(A)</t>
  </si>
  <si>
    <t>CB20-SL2(B)</t>
  </si>
  <si>
    <t>CB20-SL2(C)</t>
  </si>
  <si>
    <t>CB25-SL2(A)</t>
  </si>
  <si>
    <t>CB25-SL2(B)</t>
  </si>
  <si>
    <t>CB25-SL2(C)</t>
  </si>
  <si>
    <t>CB30-SL2(A)</t>
  </si>
  <si>
    <t>CB30-SL2(B)</t>
  </si>
  <si>
    <t>CB30-SL2(C)</t>
  </si>
  <si>
    <t>CB40-SL2(A)</t>
  </si>
  <si>
    <t>CB40-SL2(B)</t>
  </si>
  <si>
    <t>CB40-SL2(C)</t>
  </si>
  <si>
    <t>CB15-SL3(A)</t>
  </si>
  <si>
    <t>CB15-SL3(B)</t>
  </si>
  <si>
    <t>CB15-SL3(C)</t>
  </si>
  <si>
    <t>CB20-SL3(A)</t>
  </si>
  <si>
    <t>CB20-SL3(B)</t>
  </si>
  <si>
    <t>CB20-SL3(C)</t>
  </si>
  <si>
    <t>CB25-SL3(A)</t>
  </si>
  <si>
    <t>CB25-SL3(B)</t>
  </si>
  <si>
    <t>CB25-SL3(C)</t>
  </si>
  <si>
    <t>CB30-SL3(A)</t>
  </si>
  <si>
    <t>CB30-SL3(B)</t>
  </si>
  <si>
    <t>CB30-SL3(C)</t>
  </si>
  <si>
    <t>CB40-SL3(A)</t>
  </si>
  <si>
    <t>CB40-SL3(B)</t>
  </si>
  <si>
    <t>CB40-SL3(C)</t>
  </si>
  <si>
    <t>CB15-SH(A)</t>
  </si>
  <si>
    <t>CB15-SH(B)</t>
  </si>
  <si>
    <t>CB20-SH(A)</t>
  </si>
  <si>
    <t>CB20-SH(B)</t>
  </si>
  <si>
    <t>CB25-SH(A)</t>
  </si>
  <si>
    <t>CB25-SH(B)</t>
  </si>
  <si>
    <t>CB30-SH(A)</t>
  </si>
  <si>
    <t>CB30-SH(B)</t>
  </si>
  <si>
    <t>CB30-SL1(A)</t>
  </si>
  <si>
    <t>CB30-SL1(B)</t>
  </si>
  <si>
    <t>CB30-SL1(C)</t>
  </si>
  <si>
    <t>CB40-SH(A)</t>
  </si>
  <si>
    <t>CB40-SH(B)</t>
  </si>
  <si>
    <t>CB40-SL1(A)</t>
  </si>
  <si>
    <t>CB40-SL1(B)</t>
  </si>
  <si>
    <t>CB40-SL1(C)</t>
  </si>
  <si>
    <t>Tao: UCFT1-1</t>
  </si>
  <si>
    <t>Rectangular</t>
  </si>
  <si>
    <t>Bergman: RU11</t>
  </si>
  <si>
    <t>Circular</t>
  </si>
  <si>
    <t>Matsui: C4-0</t>
  </si>
  <si>
    <t>Giakoumelis: C13</t>
  </si>
  <si>
    <t>Yu: SZ5S4A1a</t>
  </si>
  <si>
    <t>Chang: CST-16</t>
  </si>
  <si>
    <t>Guler: CF2.5-1</t>
  </si>
  <si>
    <t>Elchalakani: 114/2.74</t>
  </si>
  <si>
    <t>Lin: D1</t>
  </si>
  <si>
    <t>Bergman: RU14</t>
  </si>
  <si>
    <t>Kenny: 1</t>
  </si>
  <si>
    <t>Matsui: C8-0</t>
  </si>
  <si>
    <t>Yu: C90-1</t>
  </si>
  <si>
    <t>Lee: O49C36_30</t>
  </si>
  <si>
    <t>Dundu: S1-1</t>
  </si>
  <si>
    <t>Yang: Ccfst-1</t>
  </si>
  <si>
    <t>Portoles: 1</t>
  </si>
  <si>
    <t>Zhang: SA1</t>
  </si>
  <si>
    <t>Yu: S30-1</t>
  </si>
  <si>
    <t>Yang: Scfst-1</t>
  </si>
  <si>
    <t>Ding: SST1-A</t>
  </si>
  <si>
    <t>Asiani: SC1B</t>
  </si>
  <si>
    <t>Du(a): CSC40SC2</t>
  </si>
  <si>
    <t>Du(b): HS1C40SA1</t>
  </si>
  <si>
    <t>Khan(a): CB15-SL1(A)</t>
  </si>
  <si>
    <t>Khan(b): CB15-SL2(A)</t>
  </si>
  <si>
    <t xml:space="preserve">Rect.  (135) Av =  </t>
  </si>
  <si>
    <t>Data for Graphs</t>
  </si>
  <si>
    <t>NO</t>
  </si>
  <si>
    <t>Moment</t>
  </si>
  <si>
    <t>Av (5) =</t>
  </si>
  <si>
    <t xml:space="preserve">  aa)  Short Circular Concrete Filled Steel Tubes</t>
  </si>
  <si>
    <t>Av (23) =</t>
  </si>
  <si>
    <t>C4-1</t>
  </si>
  <si>
    <t>Av (2) =</t>
  </si>
  <si>
    <t>Summary</t>
  </si>
  <si>
    <t>St Dev =</t>
  </si>
  <si>
    <t>Av (24) =</t>
  </si>
  <si>
    <t>Summary of DATA and EC4 prediction</t>
  </si>
  <si>
    <r>
      <t xml:space="preserve"> N/mm</t>
    </r>
    <r>
      <rPr>
        <b/>
        <vertAlign val="superscript"/>
        <sz val="10"/>
        <rFont val="Arial"/>
        <family val="2"/>
      </rPr>
      <t>2</t>
    </r>
  </si>
  <si>
    <r>
      <t xml:space="preserve">  Yield f</t>
    </r>
    <r>
      <rPr>
        <b/>
        <vertAlign val="subscript"/>
        <sz val="10"/>
        <rFont val="Arial"/>
        <family val="2"/>
      </rPr>
      <t>y</t>
    </r>
  </si>
  <si>
    <t>Short Circ</t>
  </si>
  <si>
    <t>fcyl &gt;75</t>
  </si>
  <si>
    <t>Long Circ</t>
  </si>
  <si>
    <t>Av T/EC4 =</t>
  </si>
  <si>
    <t>Short Rec</t>
  </si>
  <si>
    <t>Long Rec</t>
  </si>
  <si>
    <t>fcyl&gt;75</t>
  </si>
  <si>
    <t>Rect</t>
  </si>
  <si>
    <t>fcyl &gt;=100</t>
  </si>
  <si>
    <t>C all long</t>
  </si>
  <si>
    <t>fcyl&gt;=100</t>
  </si>
  <si>
    <t>No T/calc</t>
  </si>
  <si>
    <t>&lt; 1  =</t>
  </si>
  <si>
    <t>fcyl &gt; 75</t>
  </si>
  <si>
    <t>Test/EC4 =</t>
  </si>
  <si>
    <t>Long C: Guiaux: 1</t>
  </si>
  <si>
    <t>Elchalaken 114/59</t>
  </si>
  <si>
    <t>all Circ</t>
  </si>
  <si>
    <t>All No</t>
  </si>
  <si>
    <t>AvT/EC4=</t>
  </si>
  <si>
    <t>Bergmann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</si>
</sst>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" fillId="0" borderId="0"/>
  </cellStyleXfs>
  <cellXfs count="44">
    <xf numFmtId="0" fontId="0" fillId="0" borderId="0" xfId="0"/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" fillId="0" borderId="0" xfId="42"/>
    <xf numFmtId="0" fontId="2" fillId="0" borderId="0" xfId="42"/>
    <xf numFmtId="0" fontId="1" fillId="0" borderId="0" xfId="42" applyFont="1" applyAlignment="1">
      <alignment horizontal="center"/>
    </xf>
    <xf numFmtId="0" fontId="1" fillId="0" borderId="0" xfId="42" quotePrefix="1" applyFont="1" applyAlignment="1">
      <alignment horizontal="center"/>
    </xf>
    <xf numFmtId="2" fontId="2" fillId="0" borderId="0" xfId="42" applyNumberFormat="1"/>
    <xf numFmtId="0" fontId="3" fillId="0" borderId="0" xfId="42" applyFont="1" applyAlignment="1">
      <alignment horizontal="center"/>
    </xf>
    <xf numFmtId="0" fontId="1" fillId="0" borderId="0" xfId="42" applyFont="1" applyAlignment="1">
      <alignment horizontal="left"/>
    </xf>
    <xf numFmtId="0" fontId="1" fillId="0" borderId="0" xfId="42" applyFont="1" applyAlignment="1">
      <alignment horizontal="left" vertical="center"/>
    </xf>
    <xf numFmtId="0" fontId="1" fillId="0" borderId="0" xfId="42" applyFont="1"/>
    <xf numFmtId="4" fontId="1" fillId="0" borderId="0" xfId="42" applyNumberFormat="1" applyFont="1"/>
    <xf numFmtId="0" fontId="1" fillId="0" borderId="0" xfId="42" applyFont="1" applyAlignment="1">
      <alignment horizontal="left"/>
    </xf>
    <xf numFmtId="2" fontId="1" fillId="0" borderId="0" xfId="42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2" fillId="0" borderId="0" xfId="42"/>
    <xf numFmtId="0" fontId="21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42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1" fillId="0" borderId="0" xfId="42" applyFont="1"/>
    <xf numFmtId="0" fontId="0" fillId="0" borderId="0" xfId="0" applyAlignment="1">
      <alignment horizontal="right"/>
    </xf>
    <xf numFmtId="0" fontId="22" fillId="0" borderId="0" xfId="0" applyFont="1" applyAlignment="1">
      <alignment horizontal="center"/>
    </xf>
    <xf numFmtId="0" fontId="2" fillId="0" borderId="0" xfId="42"/>
    <xf numFmtId="0" fontId="2" fillId="0" borderId="0" xfId="42"/>
    <xf numFmtId="0" fontId="1" fillId="0" borderId="0" xfId="42" applyFont="1"/>
    <xf numFmtId="0" fontId="1" fillId="0" borderId="0" xfId="42" applyFont="1" applyAlignment="1">
      <alignment horizontal="left"/>
    </xf>
    <xf numFmtId="0" fontId="2" fillId="0" borderId="0" xfId="42"/>
    <xf numFmtId="164" fontId="19" fillId="0" borderId="0" xfId="0" applyNumberFormat="1" applyFont="1" applyAlignment="1">
      <alignment horizontal="center"/>
    </xf>
    <xf numFmtId="0" fontId="1" fillId="0" borderId="0" xfId="42" applyFont="1" applyAlignment="1">
      <alignment horizontal="left"/>
    </xf>
    <xf numFmtId="0" fontId="2" fillId="0" borderId="0" xfId="42"/>
    <xf numFmtId="0" fontId="1" fillId="0" borderId="0" xfId="42" applyFont="1" applyAlignment="1">
      <alignment horizontal="center"/>
    </xf>
    <xf numFmtId="0" fontId="1" fillId="0" borderId="0" xfId="42" applyFont="1"/>
    <xf numFmtId="2" fontId="1" fillId="0" borderId="0" xfId="42" applyNumberFormat="1" applyFont="1"/>
    <xf numFmtId="2" fontId="0" fillId="0" borderId="0" xfId="0" applyNumberFormat="1" applyAlignment="1">
      <alignment horizontal="center"/>
    </xf>
    <xf numFmtId="0" fontId="1" fillId="0" borderId="0" xfId="42" applyFont="1" applyAlignment="1">
      <alignment horizontal="center"/>
    </xf>
    <xf numFmtId="0" fontId="2" fillId="0" borderId="0" xfId="42" applyAlignment="1">
      <alignment horizontal="center"/>
    </xf>
    <xf numFmtId="0" fontId="1" fillId="0" borderId="0" xfId="42" applyFont="1" applyAlignment="1">
      <alignment horizontal="left"/>
    </xf>
    <xf numFmtId="0" fontId="2" fillId="0" borderId="0" xfId="42"/>
    <xf numFmtId="0" fontId="1" fillId="0" borderId="0" xfId="42" applyFont="1"/>
    <xf numFmtId="0" fontId="1" fillId="0" borderId="0" xfId="42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All  Columns  without  Moment     Test/EC4 Ratio  versus  L/D or L/b  Ratio</a:t>
            </a:r>
          </a:p>
        </c:rich>
      </c:tx>
      <c:layout>
        <c:manualLayout>
          <c:xMode val="edge"/>
          <c:yMode val="edge"/>
          <c:x val="0.12675650985976208"/>
          <c:y val="3.504014660889282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372359756176142E-2"/>
          <c:y val="0.13510637985894222"/>
          <c:w val="0.86615582217525611"/>
          <c:h val="0.72232730685200675"/>
        </c:manualLayout>
      </c:layout>
      <c:scatterChart>
        <c:scatterStyle val="lineMarker"/>
        <c:varyColors val="0"/>
        <c:ser>
          <c:idx val="0"/>
          <c:order val="0"/>
          <c:tx>
            <c:v>Circular Section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Graphs!$C$7:$C$116</c:f>
              <c:numCache>
                <c:formatCode>0.00</c:formatCode>
                <c:ptCount val="110"/>
                <c:pt idx="0">
                  <c:v>3.0873726458783577</c:v>
                </c:pt>
                <c:pt idx="1">
                  <c:v>3.6380145278450366</c:v>
                </c:pt>
                <c:pt idx="2">
                  <c:v>3.64</c:v>
                </c:pt>
                <c:pt idx="3">
                  <c:v>2.6338855289683583</c:v>
                </c:pt>
                <c:pt idx="4">
                  <c:v>2.6191723415400734</c:v>
                </c:pt>
                <c:pt idx="5">
                  <c:v>2.6186937133863801</c:v>
                </c:pt>
                <c:pt idx="6">
                  <c:v>2.9680365296803655</c:v>
                </c:pt>
                <c:pt idx="7">
                  <c:v>2.9680365296803655</c:v>
                </c:pt>
                <c:pt idx="8">
                  <c:v>2.9680365296803655</c:v>
                </c:pt>
                <c:pt idx="9">
                  <c:v>3.0909090909090908</c:v>
                </c:pt>
                <c:pt idx="10">
                  <c:v>3.0909090909090908</c:v>
                </c:pt>
                <c:pt idx="11">
                  <c:v>3.0909090909090908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3.5829451809387316</c:v>
                </c:pt>
                <c:pt idx="17">
                  <c:v>3.5829451809387316</c:v>
                </c:pt>
                <c:pt idx="18">
                  <c:v>3.5198873636043646</c:v>
                </c:pt>
                <c:pt idx="19">
                  <c:v>2.6246719160104988</c:v>
                </c:pt>
                <c:pt idx="20">
                  <c:v>2.6246719160104988</c:v>
                </c:pt>
                <c:pt idx="21">
                  <c:v>2.6246719160104988</c:v>
                </c:pt>
                <c:pt idx="22">
                  <c:v>2.6246719160104988</c:v>
                </c:pt>
                <c:pt idx="23">
                  <c:v>2.6246719160104988</c:v>
                </c:pt>
                <c:pt idx="24">
                  <c:v>20</c:v>
                </c:pt>
                <c:pt idx="25">
                  <c:v>15.051546391752577</c:v>
                </c:pt>
                <c:pt idx="26">
                  <c:v>10.098510882016036</c:v>
                </c:pt>
                <c:pt idx="27">
                  <c:v>4.3207331042382586</c:v>
                </c:pt>
                <c:pt idx="28">
                  <c:v>4.3089244851258579</c:v>
                </c:pt>
                <c:pt idx="29">
                  <c:v>4.2941847206385404</c:v>
                </c:pt>
                <c:pt idx="30">
                  <c:v>45.452631578947368</c:v>
                </c:pt>
                <c:pt idx="31">
                  <c:v>45.354330708661415</c:v>
                </c:pt>
                <c:pt idx="32">
                  <c:v>45.235602094240839</c:v>
                </c:pt>
                <c:pt idx="33">
                  <c:v>29.858267716535433</c:v>
                </c:pt>
                <c:pt idx="34">
                  <c:v>29.858267716535433</c:v>
                </c:pt>
                <c:pt idx="35">
                  <c:v>29.780104712041886</c:v>
                </c:pt>
                <c:pt idx="36">
                  <c:v>20.340314136125656</c:v>
                </c:pt>
                <c:pt idx="37">
                  <c:v>20.388451443569554</c:v>
                </c:pt>
                <c:pt idx="38">
                  <c:v>20.401574803149607</c:v>
                </c:pt>
                <c:pt idx="39">
                  <c:v>15.38219895287958</c:v>
                </c:pt>
                <c:pt idx="40">
                  <c:v>15.398950131233596</c:v>
                </c:pt>
                <c:pt idx="41">
                  <c:v>15.452631578947368</c:v>
                </c:pt>
                <c:pt idx="42">
                  <c:v>10.445026178010471</c:v>
                </c:pt>
                <c:pt idx="43">
                  <c:v>10.414698162729659</c:v>
                </c:pt>
                <c:pt idx="44">
                  <c:v>10.446194225721785</c:v>
                </c:pt>
                <c:pt idx="45">
                  <c:v>5.2913385826771657</c:v>
                </c:pt>
                <c:pt idx="46">
                  <c:v>5.2748691099476437</c:v>
                </c:pt>
                <c:pt idx="47">
                  <c:v>5.2879581151832458</c:v>
                </c:pt>
                <c:pt idx="48">
                  <c:v>3.2</c:v>
                </c:pt>
                <c:pt idx="49">
                  <c:v>5.333333333333333</c:v>
                </c:pt>
                <c:pt idx="50">
                  <c:v>5.333333333333333</c:v>
                </c:pt>
                <c:pt idx="51">
                  <c:v>5.333333333333333</c:v>
                </c:pt>
                <c:pt idx="52">
                  <c:v>3.2</c:v>
                </c:pt>
                <c:pt idx="53">
                  <c:v>5.333333333333333</c:v>
                </c:pt>
                <c:pt idx="54">
                  <c:v>12.349490583513431</c:v>
                </c:pt>
                <c:pt idx="55">
                  <c:v>6.5</c:v>
                </c:pt>
                <c:pt idx="56">
                  <c:v>6.5</c:v>
                </c:pt>
                <c:pt idx="57">
                  <c:v>21.8</c:v>
                </c:pt>
                <c:pt idx="58">
                  <c:v>5.0999999999999996</c:v>
                </c:pt>
                <c:pt idx="59">
                  <c:v>5.0999999999999996</c:v>
                </c:pt>
                <c:pt idx="60">
                  <c:v>17.100000000000001</c:v>
                </c:pt>
                <c:pt idx="61">
                  <c:v>8.0024213075060544</c:v>
                </c:pt>
                <c:pt idx="62">
                  <c:v>11.997578692493947</c:v>
                </c:pt>
                <c:pt idx="63">
                  <c:v>18.002421307506054</c:v>
                </c:pt>
                <c:pt idx="64">
                  <c:v>24.001210653753027</c:v>
                </c:pt>
                <c:pt idx="65">
                  <c:v>30.000000000000004</c:v>
                </c:pt>
                <c:pt idx="66">
                  <c:v>9</c:v>
                </c:pt>
                <c:pt idx="67">
                  <c:v>9</c:v>
                </c:pt>
                <c:pt idx="68">
                  <c:v>15</c:v>
                </c:pt>
                <c:pt idx="69">
                  <c:v>15</c:v>
                </c:pt>
                <c:pt idx="70">
                  <c:v>30</c:v>
                </c:pt>
                <c:pt idx="71">
                  <c:v>30</c:v>
                </c:pt>
                <c:pt idx="72">
                  <c:v>4.8888888888888893</c:v>
                </c:pt>
                <c:pt idx="73">
                  <c:v>5.2666666666666666</c:v>
                </c:pt>
                <c:pt idx="74">
                  <c:v>8.7070091423596008</c:v>
                </c:pt>
                <c:pt idx="75">
                  <c:v>13.0605137135394</c:v>
                </c:pt>
                <c:pt idx="76">
                  <c:v>21.767522855898999</c:v>
                </c:pt>
                <c:pt idx="77">
                  <c:v>7.855459544383347</c:v>
                </c:pt>
                <c:pt idx="78">
                  <c:v>11.783189316575021</c:v>
                </c:pt>
                <c:pt idx="79">
                  <c:v>15.710919088766694</c:v>
                </c:pt>
                <c:pt idx="80">
                  <c:v>19.638648860958366</c:v>
                </c:pt>
                <c:pt idx="81">
                  <c:v>7.1839080459770122</c:v>
                </c:pt>
                <c:pt idx="82">
                  <c:v>10.775862068965518</c:v>
                </c:pt>
                <c:pt idx="83">
                  <c:v>14.367816091954024</c:v>
                </c:pt>
                <c:pt idx="84">
                  <c:v>17.959770114942529</c:v>
                </c:pt>
                <c:pt idx="85">
                  <c:v>6.5616797900262469</c:v>
                </c:pt>
                <c:pt idx="86">
                  <c:v>9.8425196850393704</c:v>
                </c:pt>
                <c:pt idx="87">
                  <c:v>13.123359580052494</c:v>
                </c:pt>
                <c:pt idx="88">
                  <c:v>16.404199475065617</c:v>
                </c:pt>
                <c:pt idx="89">
                  <c:v>6.0569351907934585</c:v>
                </c:pt>
                <c:pt idx="90">
                  <c:v>9.0854027861901887</c:v>
                </c:pt>
                <c:pt idx="91">
                  <c:v>12.113870381586917</c:v>
                </c:pt>
                <c:pt idx="92">
                  <c:v>15.142337976983647</c:v>
                </c:pt>
                <c:pt idx="93">
                  <c:v>5.1626226122870422</c:v>
                </c:pt>
                <c:pt idx="94">
                  <c:v>7.7439339184305629</c:v>
                </c:pt>
                <c:pt idx="95">
                  <c:v>10.325245224574084</c:v>
                </c:pt>
                <c:pt idx="96">
                  <c:v>12.906556530717605</c:v>
                </c:pt>
                <c:pt idx="97">
                  <c:v>4.5</c:v>
                </c:pt>
                <c:pt idx="98">
                  <c:v>6</c:v>
                </c:pt>
                <c:pt idx="99">
                  <c:v>5.2486550321480125</c:v>
                </c:pt>
                <c:pt idx="100">
                  <c:v>5.2548607461902259</c:v>
                </c:pt>
                <c:pt idx="101">
                  <c:v>5.2555511759295754</c:v>
                </c:pt>
                <c:pt idx="102">
                  <c:v>5.2500328127050793</c:v>
                </c:pt>
                <c:pt idx="103">
                  <c:v>5.2742616033755274</c:v>
                </c:pt>
                <c:pt idx="104">
                  <c:v>5.2652362774779515</c:v>
                </c:pt>
                <c:pt idx="105">
                  <c:v>5.2507219742714621</c:v>
                </c:pt>
                <c:pt idx="106">
                  <c:v>13.427672955974844</c:v>
                </c:pt>
                <c:pt idx="107">
                  <c:v>13.427672955974844</c:v>
                </c:pt>
                <c:pt idx="108">
                  <c:v>13.427672955974844</c:v>
                </c:pt>
                <c:pt idx="109">
                  <c:v>5.2</c:v>
                </c:pt>
              </c:numCache>
            </c:numRef>
          </c:xVal>
          <c:yVal>
            <c:numRef>
              <c:f>Graphs!$B$7:$B$116</c:f>
              <c:numCache>
                <c:formatCode>0.00</c:formatCode>
                <c:ptCount val="110"/>
                <c:pt idx="0">
                  <c:v>1.1080000000000001</c:v>
                </c:pt>
                <c:pt idx="1">
                  <c:v>0.75600000000000001</c:v>
                </c:pt>
                <c:pt idx="2">
                  <c:v>0.59</c:v>
                </c:pt>
                <c:pt idx="3">
                  <c:v>1.0389999999999999</c:v>
                </c:pt>
                <c:pt idx="4">
                  <c:v>0.998</c:v>
                </c:pt>
                <c:pt idx="5">
                  <c:v>0.86899999999999999</c:v>
                </c:pt>
                <c:pt idx="6">
                  <c:v>1.127</c:v>
                </c:pt>
                <c:pt idx="7">
                  <c:v>1.117</c:v>
                </c:pt>
                <c:pt idx="8">
                  <c:v>1.123</c:v>
                </c:pt>
                <c:pt idx="9">
                  <c:v>1.091</c:v>
                </c:pt>
                <c:pt idx="10">
                  <c:v>1.0940000000000001</c:v>
                </c:pt>
                <c:pt idx="11">
                  <c:v>1.08</c:v>
                </c:pt>
                <c:pt idx="12">
                  <c:v>1.101</c:v>
                </c:pt>
                <c:pt idx="13">
                  <c:v>1.0620000000000001</c:v>
                </c:pt>
                <c:pt idx="14">
                  <c:v>1.0760000000000001</c:v>
                </c:pt>
                <c:pt idx="15">
                  <c:v>1.145</c:v>
                </c:pt>
                <c:pt idx="16">
                  <c:v>1.1339999999999999</c:v>
                </c:pt>
                <c:pt idx="17">
                  <c:v>1.08</c:v>
                </c:pt>
                <c:pt idx="18">
                  <c:v>1.181</c:v>
                </c:pt>
                <c:pt idx="19">
                  <c:v>1.0529999999999999</c:v>
                </c:pt>
                <c:pt idx="20">
                  <c:v>1.032</c:v>
                </c:pt>
                <c:pt idx="21">
                  <c:v>0.98599999999999999</c:v>
                </c:pt>
                <c:pt idx="22">
                  <c:v>1.1739999999999999</c:v>
                </c:pt>
                <c:pt idx="23">
                  <c:v>1.167</c:v>
                </c:pt>
                <c:pt idx="24">
                  <c:v>0.98159420631707095</c:v>
                </c:pt>
                <c:pt idx="25">
                  <c:v>0.97832775519470694</c:v>
                </c:pt>
                <c:pt idx="26">
                  <c:v>1.1367685974112471</c:v>
                </c:pt>
                <c:pt idx="27">
                  <c:v>1.0157020767547671</c:v>
                </c:pt>
                <c:pt idx="28">
                  <c:v>1.0208983413261177</c:v>
                </c:pt>
                <c:pt idx="29">
                  <c:v>1.0673695704610073</c:v>
                </c:pt>
                <c:pt idx="30">
                  <c:v>1.5626382364671483</c:v>
                </c:pt>
                <c:pt idx="31">
                  <c:v>1.2094241433019504</c:v>
                </c:pt>
                <c:pt idx="32">
                  <c:v>1.0993521488665376</c:v>
                </c:pt>
                <c:pt idx="33">
                  <c:v>1.0611456047033034</c:v>
                </c:pt>
                <c:pt idx="34">
                  <c:v>1.081427861872462</c:v>
                </c:pt>
                <c:pt idx="35">
                  <c:v>1.0889931350229345</c:v>
                </c:pt>
                <c:pt idx="36">
                  <c:v>0.95417791571832644</c:v>
                </c:pt>
                <c:pt idx="37">
                  <c:v>1.0676740029392504</c:v>
                </c:pt>
                <c:pt idx="38">
                  <c:v>1.0680921950363158</c:v>
                </c:pt>
                <c:pt idx="39">
                  <c:v>0.99252418610120752</c:v>
                </c:pt>
                <c:pt idx="40">
                  <c:v>0.9935521144628241</c:v>
                </c:pt>
                <c:pt idx="41">
                  <c:v>1.1244015971385457</c:v>
                </c:pt>
                <c:pt idx="42">
                  <c:v>1.1062011464281756</c:v>
                </c:pt>
                <c:pt idx="43">
                  <c:v>1.0951791215827997</c:v>
                </c:pt>
                <c:pt idx="44">
                  <c:v>1.1352304125221604</c:v>
                </c:pt>
                <c:pt idx="45">
                  <c:v>1.1108414572072616</c:v>
                </c:pt>
                <c:pt idx="46">
                  <c:v>1.0931590316801891</c:v>
                </c:pt>
                <c:pt idx="47">
                  <c:v>1.1575028983479443</c:v>
                </c:pt>
                <c:pt idx="48">
                  <c:v>1.06</c:v>
                </c:pt>
                <c:pt idx="49">
                  <c:v>1.06</c:v>
                </c:pt>
                <c:pt idx="50">
                  <c:v>1.2</c:v>
                </c:pt>
                <c:pt idx="51">
                  <c:v>1.1599999999999999</c:v>
                </c:pt>
                <c:pt idx="52">
                  <c:v>1.08</c:v>
                </c:pt>
                <c:pt idx="53">
                  <c:v>1.24</c:v>
                </c:pt>
                <c:pt idx="54">
                  <c:v>1.3148326364003868</c:v>
                </c:pt>
                <c:pt idx="55">
                  <c:v>1.04</c:v>
                </c:pt>
                <c:pt idx="56">
                  <c:v>0.89</c:v>
                </c:pt>
                <c:pt idx="57">
                  <c:v>1.31</c:v>
                </c:pt>
                <c:pt idx="58">
                  <c:v>1.06</c:v>
                </c:pt>
                <c:pt idx="59">
                  <c:v>1.1100000000000001</c:v>
                </c:pt>
                <c:pt idx="60">
                  <c:v>1.29</c:v>
                </c:pt>
                <c:pt idx="61">
                  <c:v>0.84</c:v>
                </c:pt>
                <c:pt idx="62">
                  <c:v>0.88</c:v>
                </c:pt>
                <c:pt idx="63">
                  <c:v>0.87</c:v>
                </c:pt>
                <c:pt idx="64">
                  <c:v>1.05</c:v>
                </c:pt>
                <c:pt idx="65">
                  <c:v>1.1299999999999999</c:v>
                </c:pt>
                <c:pt idx="66">
                  <c:v>1.2448589684654647</c:v>
                </c:pt>
                <c:pt idx="67">
                  <c:v>1.1455040273203336</c:v>
                </c:pt>
                <c:pt idx="68">
                  <c:v>1.3385742013675379</c:v>
                </c:pt>
                <c:pt idx="69">
                  <c:v>1.1216277762285876</c:v>
                </c:pt>
                <c:pt idx="70">
                  <c:v>1.1844295880780291</c:v>
                </c:pt>
                <c:pt idx="71">
                  <c:v>1.3057513688012994</c:v>
                </c:pt>
                <c:pt idx="72">
                  <c:v>0.98636435141154932</c:v>
                </c:pt>
                <c:pt idx="73">
                  <c:v>1.2498970707076935</c:v>
                </c:pt>
                <c:pt idx="74">
                  <c:v>1.1303918452818917</c:v>
                </c:pt>
                <c:pt idx="75">
                  <c:v>1.0333813032279295</c:v>
                </c:pt>
                <c:pt idx="76">
                  <c:v>1.1364184097515115</c:v>
                </c:pt>
                <c:pt idx="77">
                  <c:v>1.0727407692926918</c:v>
                </c:pt>
                <c:pt idx="78">
                  <c:v>1.0708181577713867</c:v>
                </c:pt>
                <c:pt idx="79">
                  <c:v>0.98312280333971014</c:v>
                </c:pt>
                <c:pt idx="80">
                  <c:v>1.0034561338549657</c:v>
                </c:pt>
                <c:pt idx="81">
                  <c:v>1.0380184954324085</c:v>
                </c:pt>
                <c:pt idx="82">
                  <c:v>0.99461546890038743</c:v>
                </c:pt>
                <c:pt idx="83">
                  <c:v>0.98373417517884276</c:v>
                </c:pt>
                <c:pt idx="84">
                  <c:v>0.94829530676747065</c:v>
                </c:pt>
                <c:pt idx="85">
                  <c:v>1.1861301406518203</c:v>
                </c:pt>
                <c:pt idx="86">
                  <c:v>1.0824650779110989</c:v>
                </c:pt>
                <c:pt idx="87">
                  <c:v>1.101324337456933</c:v>
                </c:pt>
                <c:pt idx="88">
                  <c:v>1.0911443902219222</c:v>
                </c:pt>
                <c:pt idx="89">
                  <c:v>1.1492243337877737</c:v>
                </c:pt>
                <c:pt idx="90">
                  <c:v>1.1082643047523602</c:v>
                </c:pt>
                <c:pt idx="91">
                  <c:v>1.0658637130729405</c:v>
                </c:pt>
                <c:pt idx="92">
                  <c:v>1.1459674481329774</c:v>
                </c:pt>
                <c:pt idx="93">
                  <c:v>1.1658885829216086</c:v>
                </c:pt>
                <c:pt idx="94">
                  <c:v>1.0984331877873914</c:v>
                </c:pt>
                <c:pt idx="95">
                  <c:v>1.1546618526455557</c:v>
                </c:pt>
                <c:pt idx="96">
                  <c:v>1.0871301766413715</c:v>
                </c:pt>
                <c:pt idx="97">
                  <c:v>1.1650872612711483</c:v>
                </c:pt>
                <c:pt idx="98">
                  <c:v>1.2653642650236114</c:v>
                </c:pt>
                <c:pt idx="99">
                  <c:v>1.0235458954062435</c:v>
                </c:pt>
                <c:pt idx="100">
                  <c:v>1.0402503487879915</c:v>
                </c:pt>
                <c:pt idx="101">
                  <c:v>1.0588138871126673</c:v>
                </c:pt>
                <c:pt idx="102">
                  <c:v>1.0741549783789006</c:v>
                </c:pt>
                <c:pt idx="103">
                  <c:v>1.0720087240328635</c:v>
                </c:pt>
                <c:pt idx="104">
                  <c:v>1.0756334985635549</c:v>
                </c:pt>
                <c:pt idx="105">
                  <c:v>1.0751893603355056</c:v>
                </c:pt>
                <c:pt idx="106">
                  <c:v>0.90075932558039318</c:v>
                </c:pt>
                <c:pt idx="107">
                  <c:v>1.06</c:v>
                </c:pt>
                <c:pt idx="108">
                  <c:v>0.83</c:v>
                </c:pt>
                <c:pt idx="109">
                  <c:v>1.21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B5-4C5B-847A-B53AD3F88115}"/>
            </c:ext>
          </c:extLst>
        </c:ser>
        <c:ser>
          <c:idx val="1"/>
          <c:order val="1"/>
          <c:tx>
            <c:v>Rectangular Section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Graphs!$C$118:$C$252</c:f>
              <c:numCache>
                <c:formatCode>0.00</c:formatCode>
                <c:ptCount val="135"/>
                <c:pt idx="0">
                  <c:v>5.95</c:v>
                </c:pt>
                <c:pt idx="1">
                  <c:v>11.7</c:v>
                </c:pt>
                <c:pt idx="2">
                  <c:v>7.390146471371505</c:v>
                </c:pt>
                <c:pt idx="3">
                  <c:v>14.715719063545151</c:v>
                </c:pt>
                <c:pt idx="4">
                  <c:v>20.868102288021536</c:v>
                </c:pt>
                <c:pt idx="5">
                  <c:v>7.1664464993394974</c:v>
                </c:pt>
                <c:pt idx="6">
                  <c:v>14.673333333333334</c:v>
                </c:pt>
                <c:pt idx="7">
                  <c:v>20.570670205706705</c:v>
                </c:pt>
                <c:pt idx="8">
                  <c:v>7.361008154188287</c:v>
                </c:pt>
                <c:pt idx="9">
                  <c:v>14.526779163609683</c:v>
                </c:pt>
                <c:pt idx="10">
                  <c:v>7.3916532905296952</c:v>
                </c:pt>
                <c:pt idx="11">
                  <c:v>14.527402700555996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9</c:v>
                </c:pt>
                <c:pt idx="17">
                  <c:v>9</c:v>
                </c:pt>
                <c:pt idx="18">
                  <c:v>15</c:v>
                </c:pt>
                <c:pt idx="19">
                  <c:v>15</c:v>
                </c:pt>
                <c:pt idx="20">
                  <c:v>30</c:v>
                </c:pt>
                <c:pt idx="21">
                  <c:v>30</c:v>
                </c:pt>
                <c:pt idx="22">
                  <c:v>4.5</c:v>
                </c:pt>
                <c:pt idx="23">
                  <c:v>6</c:v>
                </c:pt>
                <c:pt idx="24">
                  <c:v>3.0048076923076925</c:v>
                </c:pt>
                <c:pt idx="25">
                  <c:v>2.9880478087649402</c:v>
                </c:pt>
                <c:pt idx="26">
                  <c:v>2.9868578255675029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3.1666666666666665</c:v>
                </c:pt>
                <c:pt idx="38">
                  <c:v>3.1666666666666665</c:v>
                </c:pt>
                <c:pt idx="39">
                  <c:v>6.0099009900990099</c:v>
                </c:pt>
                <c:pt idx="40">
                  <c:v>0.58823529411764708</c:v>
                </c:pt>
                <c:pt idx="41">
                  <c:v>4.5462184873949578</c:v>
                </c:pt>
                <c:pt idx="42">
                  <c:v>4.4344262295081966</c:v>
                </c:pt>
                <c:pt idx="43">
                  <c:v>3.02</c:v>
                </c:pt>
                <c:pt idx="44">
                  <c:v>3.0066666666666668</c:v>
                </c:pt>
                <c:pt idx="45">
                  <c:v>3.61</c:v>
                </c:pt>
                <c:pt idx="46">
                  <c:v>3.6</c:v>
                </c:pt>
                <c:pt idx="47">
                  <c:v>4.4628099173553721</c:v>
                </c:pt>
                <c:pt idx="48">
                  <c:v>4.4262295081967213</c:v>
                </c:pt>
                <c:pt idx="49">
                  <c:v>3.5242718446601944</c:v>
                </c:pt>
                <c:pt idx="50">
                  <c:v>3.5445544554455446</c:v>
                </c:pt>
                <c:pt idx="51">
                  <c:v>4.5546218487394956</c:v>
                </c:pt>
                <c:pt idx="52">
                  <c:v>4.541666666666667</c:v>
                </c:pt>
                <c:pt idx="53">
                  <c:v>9.8425196850393704</c:v>
                </c:pt>
                <c:pt idx="54">
                  <c:v>14.763779527559056</c:v>
                </c:pt>
                <c:pt idx="55">
                  <c:v>19.685039370078741</c:v>
                </c:pt>
                <c:pt idx="56">
                  <c:v>24.606299212598426</c:v>
                </c:pt>
                <c:pt idx="57">
                  <c:v>8.3333333333333339</c:v>
                </c:pt>
                <c:pt idx="58">
                  <c:v>12.5</c:v>
                </c:pt>
                <c:pt idx="59">
                  <c:v>16.666666666666668</c:v>
                </c:pt>
                <c:pt idx="60">
                  <c:v>20.833333333333332</c:v>
                </c:pt>
                <c:pt idx="61">
                  <c:v>6.666666666666667</c:v>
                </c:pt>
                <c:pt idx="62">
                  <c:v>10</c:v>
                </c:pt>
                <c:pt idx="63">
                  <c:v>13.333333333333334</c:v>
                </c:pt>
                <c:pt idx="64">
                  <c:v>16.666666666666668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42.857142857142854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35.526315789473685</c:v>
                </c:pt>
                <c:pt idx="74">
                  <c:v>27</c:v>
                </c:pt>
                <c:pt idx="75">
                  <c:v>27</c:v>
                </c:pt>
                <c:pt idx="76">
                  <c:v>22.5</c:v>
                </c:pt>
                <c:pt idx="77">
                  <c:v>22.5</c:v>
                </c:pt>
                <c:pt idx="78">
                  <c:v>18</c:v>
                </c:pt>
                <c:pt idx="79">
                  <c:v>18</c:v>
                </c:pt>
                <c:pt idx="80">
                  <c:v>20.451778709590151</c:v>
                </c:pt>
                <c:pt idx="81">
                  <c:v>20.47670639219935</c:v>
                </c:pt>
                <c:pt idx="82">
                  <c:v>20.543478260869566</c:v>
                </c:pt>
                <c:pt idx="83">
                  <c:v>15.29280873874785</c:v>
                </c:pt>
                <c:pt idx="84">
                  <c:v>15.289715845889372</c:v>
                </c:pt>
                <c:pt idx="85">
                  <c:v>15.22811964951153</c:v>
                </c:pt>
                <c:pt idx="86">
                  <c:v>12.181759587495971</c:v>
                </c:pt>
                <c:pt idx="87">
                  <c:v>12.155317951603827</c:v>
                </c:pt>
                <c:pt idx="88">
                  <c:v>12.188633615477631</c:v>
                </c:pt>
                <c:pt idx="89">
                  <c:v>33.781603012372244</c:v>
                </c:pt>
                <c:pt idx="90">
                  <c:v>33.745298226759807</c:v>
                </c:pt>
                <c:pt idx="91">
                  <c:v>33.457645178476291</c:v>
                </c:pt>
                <c:pt idx="92">
                  <c:v>25.132566283141571</c:v>
                </c:pt>
                <c:pt idx="93">
                  <c:v>25.12</c:v>
                </c:pt>
                <c:pt idx="94">
                  <c:v>25.279259333802958</c:v>
                </c:pt>
                <c:pt idx="95">
                  <c:v>20.160513643659712</c:v>
                </c:pt>
                <c:pt idx="96">
                  <c:v>20.081541290271005</c:v>
                </c:pt>
                <c:pt idx="97">
                  <c:v>20.170226433274451</c:v>
                </c:pt>
                <c:pt idx="98">
                  <c:v>16.777985573069731</c:v>
                </c:pt>
                <c:pt idx="99">
                  <c:v>16.751133635636169</c:v>
                </c:pt>
                <c:pt idx="100">
                  <c:v>16.712128268245625</c:v>
                </c:pt>
                <c:pt idx="101">
                  <c:v>12.583909427913035</c:v>
                </c:pt>
                <c:pt idx="102">
                  <c:v>12.591478696741854</c:v>
                </c:pt>
                <c:pt idx="103">
                  <c:v>12.573831214335769</c:v>
                </c:pt>
                <c:pt idx="104">
                  <c:v>47.197957263808632</c:v>
                </c:pt>
                <c:pt idx="105">
                  <c:v>47.491548343475323</c:v>
                </c:pt>
                <c:pt idx="106">
                  <c:v>47.357065803667744</c:v>
                </c:pt>
                <c:pt idx="107">
                  <c:v>35.478331144560059</c:v>
                </c:pt>
                <c:pt idx="108">
                  <c:v>35.331991951710258</c:v>
                </c:pt>
                <c:pt idx="109">
                  <c:v>35.292935383378556</c:v>
                </c:pt>
                <c:pt idx="110">
                  <c:v>28.229242022345471</c:v>
                </c:pt>
                <c:pt idx="111">
                  <c:v>28.267868641339344</c:v>
                </c:pt>
                <c:pt idx="112">
                  <c:v>28.231511254019292</c:v>
                </c:pt>
                <c:pt idx="113">
                  <c:v>23.518382106743452</c:v>
                </c:pt>
                <c:pt idx="114">
                  <c:v>23.589468027941969</c:v>
                </c:pt>
                <c:pt idx="115">
                  <c:v>23.425827107790823</c:v>
                </c:pt>
                <c:pt idx="116">
                  <c:v>17.574059247397919</c:v>
                </c:pt>
                <c:pt idx="117">
                  <c:v>17.596071947492359</c:v>
                </c:pt>
                <c:pt idx="118">
                  <c:v>17.501370409129418</c:v>
                </c:pt>
                <c:pt idx="119">
                  <c:v>3.8492706645056725</c:v>
                </c:pt>
                <c:pt idx="120">
                  <c:v>3.9110745162618361</c:v>
                </c:pt>
                <c:pt idx="121">
                  <c:v>3.6159100040176777</c:v>
                </c:pt>
                <c:pt idx="122">
                  <c:v>3.629032258064516</c:v>
                </c:pt>
                <c:pt idx="123">
                  <c:v>3.4959414932090329</c:v>
                </c:pt>
                <c:pt idx="124">
                  <c:v>3.4816712021770448</c:v>
                </c:pt>
                <c:pt idx="125">
                  <c:v>3.400226681778785</c:v>
                </c:pt>
                <c:pt idx="126">
                  <c:v>3.4029492226596383</c:v>
                </c:pt>
                <c:pt idx="127">
                  <c:v>10.108833544768645</c:v>
                </c:pt>
                <c:pt idx="128">
                  <c:v>10.135904130682198</c:v>
                </c:pt>
                <c:pt idx="129">
                  <c:v>10.121674020590987</c:v>
                </c:pt>
                <c:pt idx="130">
                  <c:v>3.3164162604894227</c:v>
                </c:pt>
                <c:pt idx="131">
                  <c:v>3.3214231795078253</c:v>
                </c:pt>
                <c:pt idx="132">
                  <c:v>7.6110999396742418</c:v>
                </c:pt>
                <c:pt idx="133">
                  <c:v>7.6084225337956681</c:v>
                </c:pt>
                <c:pt idx="134">
                  <c:v>7.6095697627663847</c:v>
                </c:pt>
              </c:numCache>
            </c:numRef>
          </c:xVal>
          <c:yVal>
            <c:numRef>
              <c:f>Graphs!$B$118:$B$252</c:f>
              <c:numCache>
                <c:formatCode>0.00</c:formatCode>
                <c:ptCount val="135"/>
                <c:pt idx="0">
                  <c:v>0.83498959311202969</c:v>
                </c:pt>
                <c:pt idx="1">
                  <c:v>0.91725904218741761</c:v>
                </c:pt>
                <c:pt idx="2">
                  <c:v>0.97785268845547213</c:v>
                </c:pt>
                <c:pt idx="3">
                  <c:v>1.0166713205801823</c:v>
                </c:pt>
                <c:pt idx="4">
                  <c:v>1.0174769558206009</c:v>
                </c:pt>
                <c:pt idx="5">
                  <c:v>0.96481008166374838</c:v>
                </c:pt>
                <c:pt idx="6">
                  <c:v>1.0146724610920443</c:v>
                </c:pt>
                <c:pt idx="7">
                  <c:v>0.8513232639744428</c:v>
                </c:pt>
                <c:pt idx="8">
                  <c:v>0.95083090387945446</c:v>
                </c:pt>
                <c:pt idx="9">
                  <c:v>1.0300704799382059</c:v>
                </c:pt>
                <c:pt idx="10">
                  <c:v>0.99580797630716911</c:v>
                </c:pt>
                <c:pt idx="11">
                  <c:v>0.99020061145197991</c:v>
                </c:pt>
                <c:pt idx="12">
                  <c:v>0.8475015022016702</c:v>
                </c:pt>
                <c:pt idx="13">
                  <c:v>0.85521243398348845</c:v>
                </c:pt>
                <c:pt idx="14">
                  <c:v>0.83418262003307486</c:v>
                </c:pt>
                <c:pt idx="15">
                  <c:v>0.85521243398348845</c:v>
                </c:pt>
                <c:pt idx="16">
                  <c:v>0.77207461278325928</c:v>
                </c:pt>
                <c:pt idx="17">
                  <c:v>0.7697881134364184</c:v>
                </c:pt>
                <c:pt idx="18">
                  <c:v>0.84247402900412183</c:v>
                </c:pt>
                <c:pt idx="19">
                  <c:v>0.87009612831573235</c:v>
                </c:pt>
                <c:pt idx="20">
                  <c:v>1.1268432212303032</c:v>
                </c:pt>
                <c:pt idx="21">
                  <c:v>1.1078247702390744</c:v>
                </c:pt>
                <c:pt idx="22">
                  <c:v>0.91163009081663771</c:v>
                </c:pt>
                <c:pt idx="23">
                  <c:v>0.97362208234546388</c:v>
                </c:pt>
                <c:pt idx="24">
                  <c:v>0.88193968068226591</c:v>
                </c:pt>
                <c:pt idx="25">
                  <c:v>0.78707014396498165</c:v>
                </c:pt>
                <c:pt idx="26">
                  <c:v>0.74462964831605571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1.039929375373448</c:v>
                </c:pt>
                <c:pt idx="40">
                  <c:v>1.0054475724416583</c:v>
                </c:pt>
                <c:pt idx="41">
                  <c:v>1.0841409537430331</c:v>
                </c:pt>
                <c:pt idx="42">
                  <c:v>1.0279268875942165</c:v>
                </c:pt>
                <c:pt idx="43">
                  <c:v>1.143647787164904</c:v>
                </c:pt>
                <c:pt idx="44">
                  <c:v>1.081107087053826</c:v>
                </c:pt>
                <c:pt idx="45">
                  <c:v>1.195674882903526</c:v>
                </c:pt>
                <c:pt idx="46">
                  <c:v>1.1961263896614334</c:v>
                </c:pt>
                <c:pt idx="47">
                  <c:v>0.98682991520182983</c:v>
                </c:pt>
                <c:pt idx="48">
                  <c:v>0.986270339790984</c:v>
                </c:pt>
                <c:pt idx="49">
                  <c:v>1.4479475695374522</c:v>
                </c:pt>
                <c:pt idx="50">
                  <c:v>1.4887963516206053</c:v>
                </c:pt>
                <c:pt idx="51">
                  <c:v>1.2169766163285427</c:v>
                </c:pt>
                <c:pt idx="52">
                  <c:v>1.1230163059063751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B5-4C5B-847A-B53AD3F88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63360"/>
        <c:axId val="409565656"/>
      </c:scatterChart>
      <c:valAx>
        <c:axId val="409563360"/>
        <c:scaling>
          <c:orientation val="minMax"/>
          <c:max val="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Length/Diameter  (or Length/Breadth) 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chemeClr val="tx1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65656"/>
        <c:crosses val="autoZero"/>
        <c:crossBetween val="midCat"/>
      </c:valAx>
      <c:valAx>
        <c:axId val="409565656"/>
        <c:scaling>
          <c:orientation val="minMax"/>
          <c:max val="2.4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Test/EC4  Ratio</a:t>
                </a:r>
              </a:p>
            </c:rich>
          </c:tx>
          <c:layout>
            <c:manualLayout>
              <c:xMode val="edge"/>
              <c:yMode val="edge"/>
              <c:x val="2.0961073830129698E-2"/>
              <c:y val="0.3594651260308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chemeClr val="tx1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6336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1784021717261217"/>
          <c:y val="0.16603550295857988"/>
          <c:w val="0.17493698855634218"/>
          <c:h val="0.15335352311730263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solidFill>
              <a:schemeClr val="tx1"/>
            </a:solidFill>
          </a:ln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All Columns Without Moment   Ratio  of  Test/EC4   versus   Concrete  Strength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91428619561058"/>
          <c:y val="0.14775876514285652"/>
          <c:w val="0.83849729248799654"/>
          <c:h val="0.64826866246634407"/>
        </c:manualLayout>
      </c:layout>
      <c:scatterChart>
        <c:scatterStyle val="lineMarker"/>
        <c:varyColors val="0"/>
        <c:ser>
          <c:idx val="0"/>
          <c:order val="0"/>
          <c:tx>
            <c:v>Circular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Graphs!$D$7:$D$116</c:f>
              <c:numCache>
                <c:formatCode>0.00</c:formatCode>
                <c:ptCount val="110"/>
                <c:pt idx="0">
                  <c:v>92.3</c:v>
                </c:pt>
                <c:pt idx="1">
                  <c:v>40.9</c:v>
                </c:pt>
                <c:pt idx="2">
                  <c:v>41.7</c:v>
                </c:pt>
                <c:pt idx="3">
                  <c:v>25.52</c:v>
                </c:pt>
                <c:pt idx="4">
                  <c:v>79.12</c:v>
                </c:pt>
                <c:pt idx="5">
                  <c:v>79.12</c:v>
                </c:pt>
                <c:pt idx="6">
                  <c:v>40.400000000000006</c:v>
                </c:pt>
                <c:pt idx="7">
                  <c:v>40.400000000000006</c:v>
                </c:pt>
                <c:pt idx="8">
                  <c:v>34.080000000000005</c:v>
                </c:pt>
                <c:pt idx="9">
                  <c:v>61.760000000000005</c:v>
                </c:pt>
                <c:pt idx="10">
                  <c:v>45.6</c:v>
                </c:pt>
                <c:pt idx="11">
                  <c:v>37.04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38.24</c:v>
                </c:pt>
                <c:pt idx="17">
                  <c:v>45.360000000000007</c:v>
                </c:pt>
                <c:pt idx="18">
                  <c:v>45.360000000000007</c:v>
                </c:pt>
                <c:pt idx="19">
                  <c:v>56.2</c:v>
                </c:pt>
                <c:pt idx="20">
                  <c:v>66.75</c:v>
                </c:pt>
                <c:pt idx="21">
                  <c:v>107.2</c:v>
                </c:pt>
                <c:pt idx="22">
                  <c:v>56.2</c:v>
                </c:pt>
                <c:pt idx="23">
                  <c:v>66.75</c:v>
                </c:pt>
                <c:pt idx="24">
                  <c:v>32.08</c:v>
                </c:pt>
                <c:pt idx="25">
                  <c:v>34.4</c:v>
                </c:pt>
                <c:pt idx="26">
                  <c:v>30.240000000000002</c:v>
                </c:pt>
                <c:pt idx="27">
                  <c:v>30.240000000000002</c:v>
                </c:pt>
                <c:pt idx="28">
                  <c:v>30.240000000000002</c:v>
                </c:pt>
                <c:pt idx="29">
                  <c:v>30.240000000000002</c:v>
                </c:pt>
                <c:pt idx="30">
                  <c:v>32.08</c:v>
                </c:pt>
                <c:pt idx="31">
                  <c:v>32.08</c:v>
                </c:pt>
                <c:pt idx="32">
                  <c:v>32.08</c:v>
                </c:pt>
                <c:pt idx="33">
                  <c:v>34.4</c:v>
                </c:pt>
                <c:pt idx="34">
                  <c:v>34.4</c:v>
                </c:pt>
                <c:pt idx="35">
                  <c:v>34.4</c:v>
                </c:pt>
                <c:pt idx="36">
                  <c:v>30.240000000000002</c:v>
                </c:pt>
                <c:pt idx="37">
                  <c:v>30.240000000000002</c:v>
                </c:pt>
                <c:pt idx="38">
                  <c:v>30.240000000000002</c:v>
                </c:pt>
                <c:pt idx="39">
                  <c:v>34.4</c:v>
                </c:pt>
                <c:pt idx="40">
                  <c:v>34.4</c:v>
                </c:pt>
                <c:pt idx="41">
                  <c:v>34.4</c:v>
                </c:pt>
                <c:pt idx="42">
                  <c:v>34.4</c:v>
                </c:pt>
                <c:pt idx="43">
                  <c:v>34.4</c:v>
                </c:pt>
                <c:pt idx="44">
                  <c:v>34.4</c:v>
                </c:pt>
                <c:pt idx="45">
                  <c:v>34.4</c:v>
                </c:pt>
                <c:pt idx="46">
                  <c:v>34.4</c:v>
                </c:pt>
                <c:pt idx="47">
                  <c:v>34.4</c:v>
                </c:pt>
                <c:pt idx="48">
                  <c:v>18.400000000000002</c:v>
                </c:pt>
                <c:pt idx="49">
                  <c:v>18.400000000000002</c:v>
                </c:pt>
                <c:pt idx="50">
                  <c:v>18.400000000000002</c:v>
                </c:pt>
                <c:pt idx="51">
                  <c:v>18.400000000000002</c:v>
                </c:pt>
                <c:pt idx="52">
                  <c:v>27.28</c:v>
                </c:pt>
                <c:pt idx="53">
                  <c:v>28.8</c:v>
                </c:pt>
                <c:pt idx="54">
                  <c:v>92.3</c:v>
                </c:pt>
                <c:pt idx="55">
                  <c:v>38.4</c:v>
                </c:pt>
                <c:pt idx="56">
                  <c:v>38.4</c:v>
                </c:pt>
                <c:pt idx="57">
                  <c:v>38.4</c:v>
                </c:pt>
                <c:pt idx="58">
                  <c:v>38.4</c:v>
                </c:pt>
                <c:pt idx="59">
                  <c:v>38.4</c:v>
                </c:pt>
                <c:pt idx="60">
                  <c:v>38.4</c:v>
                </c:pt>
                <c:pt idx="61">
                  <c:v>40.9</c:v>
                </c:pt>
                <c:pt idx="62">
                  <c:v>40.9</c:v>
                </c:pt>
                <c:pt idx="63">
                  <c:v>40.9</c:v>
                </c:pt>
                <c:pt idx="64">
                  <c:v>40.9</c:v>
                </c:pt>
                <c:pt idx="65">
                  <c:v>40.9</c:v>
                </c:pt>
                <c:pt idx="66">
                  <c:v>97.3</c:v>
                </c:pt>
                <c:pt idx="67">
                  <c:v>97.3</c:v>
                </c:pt>
                <c:pt idx="68">
                  <c:v>97.3</c:v>
                </c:pt>
                <c:pt idx="69">
                  <c:v>97.3</c:v>
                </c:pt>
                <c:pt idx="70">
                  <c:v>97.3</c:v>
                </c:pt>
                <c:pt idx="71">
                  <c:v>97.3</c:v>
                </c:pt>
                <c:pt idx="72">
                  <c:v>31.5</c:v>
                </c:pt>
                <c:pt idx="73">
                  <c:v>31.5</c:v>
                </c:pt>
                <c:pt idx="74">
                  <c:v>40.299999999999997</c:v>
                </c:pt>
                <c:pt idx="75">
                  <c:v>40.299999999999997</c:v>
                </c:pt>
                <c:pt idx="76">
                  <c:v>40.299999999999997</c:v>
                </c:pt>
                <c:pt idx="77">
                  <c:v>40.299999999999997</c:v>
                </c:pt>
                <c:pt idx="78">
                  <c:v>40.299999999999997</c:v>
                </c:pt>
                <c:pt idx="79">
                  <c:v>40.299999999999997</c:v>
                </c:pt>
                <c:pt idx="80">
                  <c:v>40.299999999999997</c:v>
                </c:pt>
                <c:pt idx="81">
                  <c:v>40.299999999999997</c:v>
                </c:pt>
                <c:pt idx="82">
                  <c:v>40.299999999999997</c:v>
                </c:pt>
                <c:pt idx="83">
                  <c:v>40.299999999999997</c:v>
                </c:pt>
                <c:pt idx="84">
                  <c:v>40.299999999999997</c:v>
                </c:pt>
                <c:pt idx="85">
                  <c:v>30.9</c:v>
                </c:pt>
                <c:pt idx="86">
                  <c:v>30.9</c:v>
                </c:pt>
                <c:pt idx="87">
                  <c:v>30.9</c:v>
                </c:pt>
                <c:pt idx="88">
                  <c:v>30.9</c:v>
                </c:pt>
                <c:pt idx="89">
                  <c:v>30.9</c:v>
                </c:pt>
                <c:pt idx="90">
                  <c:v>30.9</c:v>
                </c:pt>
                <c:pt idx="91">
                  <c:v>30.9</c:v>
                </c:pt>
                <c:pt idx="92">
                  <c:v>30.9</c:v>
                </c:pt>
                <c:pt idx="93">
                  <c:v>30.9</c:v>
                </c:pt>
                <c:pt idx="94">
                  <c:v>30.9</c:v>
                </c:pt>
                <c:pt idx="95">
                  <c:v>30.9</c:v>
                </c:pt>
                <c:pt idx="96">
                  <c:v>30.9</c:v>
                </c:pt>
                <c:pt idx="97">
                  <c:v>42.1</c:v>
                </c:pt>
                <c:pt idx="98">
                  <c:v>42.1</c:v>
                </c:pt>
                <c:pt idx="99">
                  <c:v>145</c:v>
                </c:pt>
                <c:pt idx="100">
                  <c:v>145</c:v>
                </c:pt>
                <c:pt idx="101">
                  <c:v>145</c:v>
                </c:pt>
                <c:pt idx="102">
                  <c:v>145</c:v>
                </c:pt>
                <c:pt idx="103">
                  <c:v>145</c:v>
                </c:pt>
                <c:pt idx="104">
                  <c:v>145</c:v>
                </c:pt>
                <c:pt idx="105">
                  <c:v>145</c:v>
                </c:pt>
                <c:pt idx="106">
                  <c:v>37.700000000000003</c:v>
                </c:pt>
                <c:pt idx="107">
                  <c:v>75.7</c:v>
                </c:pt>
                <c:pt idx="108">
                  <c:v>120.1</c:v>
                </c:pt>
                <c:pt idx="109">
                  <c:v>45.8</c:v>
                </c:pt>
              </c:numCache>
            </c:numRef>
          </c:xVal>
          <c:yVal>
            <c:numRef>
              <c:f>Graphs!$B$7:$B$116</c:f>
              <c:numCache>
                <c:formatCode>0.00</c:formatCode>
                <c:ptCount val="110"/>
                <c:pt idx="0">
                  <c:v>1.1080000000000001</c:v>
                </c:pt>
                <c:pt idx="1">
                  <c:v>0.75600000000000001</c:v>
                </c:pt>
                <c:pt idx="2">
                  <c:v>0.59</c:v>
                </c:pt>
                <c:pt idx="3">
                  <c:v>1.0389999999999999</c:v>
                </c:pt>
                <c:pt idx="4">
                  <c:v>0.998</c:v>
                </c:pt>
                <c:pt idx="5">
                  <c:v>0.86899999999999999</c:v>
                </c:pt>
                <c:pt idx="6">
                  <c:v>1.127</c:v>
                </c:pt>
                <c:pt idx="7">
                  <c:v>1.117</c:v>
                </c:pt>
                <c:pt idx="8">
                  <c:v>1.123</c:v>
                </c:pt>
                <c:pt idx="9">
                  <c:v>1.091</c:v>
                </c:pt>
                <c:pt idx="10">
                  <c:v>1.0940000000000001</c:v>
                </c:pt>
                <c:pt idx="11">
                  <c:v>1.08</c:v>
                </c:pt>
                <c:pt idx="12">
                  <c:v>1.101</c:v>
                </c:pt>
                <c:pt idx="13">
                  <c:v>1.0620000000000001</c:v>
                </c:pt>
                <c:pt idx="14">
                  <c:v>1.0760000000000001</c:v>
                </c:pt>
                <c:pt idx="15">
                  <c:v>1.145</c:v>
                </c:pt>
                <c:pt idx="16">
                  <c:v>1.1339999999999999</c:v>
                </c:pt>
                <c:pt idx="17">
                  <c:v>1.08</c:v>
                </c:pt>
                <c:pt idx="18">
                  <c:v>1.181</c:v>
                </c:pt>
                <c:pt idx="19">
                  <c:v>1.0529999999999999</c:v>
                </c:pt>
                <c:pt idx="20">
                  <c:v>1.032</c:v>
                </c:pt>
                <c:pt idx="21">
                  <c:v>0.98599999999999999</c:v>
                </c:pt>
                <c:pt idx="22">
                  <c:v>1.1739999999999999</c:v>
                </c:pt>
                <c:pt idx="23">
                  <c:v>1.167</c:v>
                </c:pt>
                <c:pt idx="24">
                  <c:v>0.98159420631707095</c:v>
                </c:pt>
                <c:pt idx="25">
                  <c:v>0.97832775519470694</c:v>
                </c:pt>
                <c:pt idx="26">
                  <c:v>1.1367685974112471</c:v>
                </c:pt>
                <c:pt idx="27">
                  <c:v>1.0157020767547671</c:v>
                </c:pt>
                <c:pt idx="28">
                  <c:v>1.0208983413261177</c:v>
                </c:pt>
                <c:pt idx="29">
                  <c:v>1.0673695704610073</c:v>
                </c:pt>
                <c:pt idx="30">
                  <c:v>1.5626382364671483</c:v>
                </c:pt>
                <c:pt idx="31">
                  <c:v>1.2094241433019504</c:v>
                </c:pt>
                <c:pt idx="32">
                  <c:v>1.0993521488665376</c:v>
                </c:pt>
                <c:pt idx="33">
                  <c:v>1.0611456047033034</c:v>
                </c:pt>
                <c:pt idx="34">
                  <c:v>1.081427861872462</c:v>
                </c:pt>
                <c:pt idx="35">
                  <c:v>1.0889931350229345</c:v>
                </c:pt>
                <c:pt idx="36">
                  <c:v>0.95417791571832644</c:v>
                </c:pt>
                <c:pt idx="37">
                  <c:v>1.0676740029392504</c:v>
                </c:pt>
                <c:pt idx="38">
                  <c:v>1.0680921950363158</c:v>
                </c:pt>
                <c:pt idx="39">
                  <c:v>0.99252418610120752</c:v>
                </c:pt>
                <c:pt idx="40">
                  <c:v>0.9935521144628241</c:v>
                </c:pt>
                <c:pt idx="41">
                  <c:v>1.1244015971385457</c:v>
                </c:pt>
                <c:pt idx="42">
                  <c:v>1.1062011464281756</c:v>
                </c:pt>
                <c:pt idx="43">
                  <c:v>1.0951791215827997</c:v>
                </c:pt>
                <c:pt idx="44">
                  <c:v>1.1352304125221604</c:v>
                </c:pt>
                <c:pt idx="45">
                  <c:v>1.1108414572072616</c:v>
                </c:pt>
                <c:pt idx="46">
                  <c:v>1.0931590316801891</c:v>
                </c:pt>
                <c:pt idx="47">
                  <c:v>1.1575028983479443</c:v>
                </c:pt>
                <c:pt idx="48">
                  <c:v>1.06</c:v>
                </c:pt>
                <c:pt idx="49">
                  <c:v>1.06</c:v>
                </c:pt>
                <c:pt idx="50">
                  <c:v>1.2</c:v>
                </c:pt>
                <c:pt idx="51">
                  <c:v>1.1599999999999999</c:v>
                </c:pt>
                <c:pt idx="52">
                  <c:v>1.08</c:v>
                </c:pt>
                <c:pt idx="53">
                  <c:v>1.24</c:v>
                </c:pt>
                <c:pt idx="54">
                  <c:v>1.3148326364003868</c:v>
                </c:pt>
                <c:pt idx="55">
                  <c:v>1.04</c:v>
                </c:pt>
                <c:pt idx="56">
                  <c:v>0.89</c:v>
                </c:pt>
                <c:pt idx="57">
                  <c:v>1.31</c:v>
                </c:pt>
                <c:pt idx="58">
                  <c:v>1.06</c:v>
                </c:pt>
                <c:pt idx="59">
                  <c:v>1.1100000000000001</c:v>
                </c:pt>
                <c:pt idx="60">
                  <c:v>1.29</c:v>
                </c:pt>
                <c:pt idx="61">
                  <c:v>0.84</c:v>
                </c:pt>
                <c:pt idx="62">
                  <c:v>0.88</c:v>
                </c:pt>
                <c:pt idx="63">
                  <c:v>0.87</c:v>
                </c:pt>
                <c:pt idx="64">
                  <c:v>1.05</c:v>
                </c:pt>
                <c:pt idx="65">
                  <c:v>1.1299999999999999</c:v>
                </c:pt>
                <c:pt idx="66">
                  <c:v>1.2448589684654647</c:v>
                </c:pt>
                <c:pt idx="67">
                  <c:v>1.1455040273203336</c:v>
                </c:pt>
                <c:pt idx="68">
                  <c:v>1.3385742013675379</c:v>
                </c:pt>
                <c:pt idx="69">
                  <c:v>1.1216277762285876</c:v>
                </c:pt>
                <c:pt idx="70">
                  <c:v>1.1844295880780291</c:v>
                </c:pt>
                <c:pt idx="71">
                  <c:v>1.3057513688012994</c:v>
                </c:pt>
                <c:pt idx="72">
                  <c:v>0.98636435141154932</c:v>
                </c:pt>
                <c:pt idx="73">
                  <c:v>1.2498970707076935</c:v>
                </c:pt>
                <c:pt idx="74">
                  <c:v>1.1303918452818917</c:v>
                </c:pt>
                <c:pt idx="75">
                  <c:v>1.0333813032279295</c:v>
                </c:pt>
                <c:pt idx="76">
                  <c:v>1.1364184097515115</c:v>
                </c:pt>
                <c:pt idx="77">
                  <c:v>1.0727407692926918</c:v>
                </c:pt>
                <c:pt idx="78">
                  <c:v>1.0708181577713867</c:v>
                </c:pt>
                <c:pt idx="79">
                  <c:v>0.98312280333971014</c:v>
                </c:pt>
                <c:pt idx="80">
                  <c:v>1.0034561338549657</c:v>
                </c:pt>
                <c:pt idx="81">
                  <c:v>1.0380184954324085</c:v>
                </c:pt>
                <c:pt idx="82">
                  <c:v>0.99461546890038743</c:v>
                </c:pt>
                <c:pt idx="83">
                  <c:v>0.98373417517884276</c:v>
                </c:pt>
                <c:pt idx="84">
                  <c:v>0.94829530676747065</c:v>
                </c:pt>
                <c:pt idx="85">
                  <c:v>1.1861301406518203</c:v>
                </c:pt>
                <c:pt idx="86">
                  <c:v>1.0824650779110989</c:v>
                </c:pt>
                <c:pt idx="87">
                  <c:v>1.101324337456933</c:v>
                </c:pt>
                <c:pt idx="88">
                  <c:v>1.0911443902219222</c:v>
                </c:pt>
                <c:pt idx="89">
                  <c:v>1.1492243337877737</c:v>
                </c:pt>
                <c:pt idx="90">
                  <c:v>1.1082643047523602</c:v>
                </c:pt>
                <c:pt idx="91">
                  <c:v>1.0658637130729405</c:v>
                </c:pt>
                <c:pt idx="92">
                  <c:v>1.1459674481329774</c:v>
                </c:pt>
                <c:pt idx="93">
                  <c:v>1.1658885829216086</c:v>
                </c:pt>
                <c:pt idx="94">
                  <c:v>1.0984331877873914</c:v>
                </c:pt>
                <c:pt idx="95">
                  <c:v>1.1546618526455557</c:v>
                </c:pt>
                <c:pt idx="96">
                  <c:v>1.0871301766413715</c:v>
                </c:pt>
                <c:pt idx="97">
                  <c:v>1.1650872612711483</c:v>
                </c:pt>
                <c:pt idx="98">
                  <c:v>1.2653642650236114</c:v>
                </c:pt>
                <c:pt idx="99">
                  <c:v>1.0235458954062435</c:v>
                </c:pt>
                <c:pt idx="100">
                  <c:v>1.0402503487879915</c:v>
                </c:pt>
                <c:pt idx="101">
                  <c:v>1.0588138871126673</c:v>
                </c:pt>
                <c:pt idx="102">
                  <c:v>1.0741549783789006</c:v>
                </c:pt>
                <c:pt idx="103">
                  <c:v>1.0720087240328635</c:v>
                </c:pt>
                <c:pt idx="104">
                  <c:v>1.0756334985635549</c:v>
                </c:pt>
                <c:pt idx="105">
                  <c:v>1.0751893603355056</c:v>
                </c:pt>
                <c:pt idx="106">
                  <c:v>0.90075932558039318</c:v>
                </c:pt>
                <c:pt idx="107">
                  <c:v>1.06</c:v>
                </c:pt>
                <c:pt idx="108">
                  <c:v>0.83</c:v>
                </c:pt>
                <c:pt idx="109">
                  <c:v>1.21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59-487C-8E56-13019EEAA896}"/>
            </c:ext>
          </c:extLst>
        </c:ser>
        <c:ser>
          <c:idx val="1"/>
          <c:order val="1"/>
          <c:tx>
            <c:v>Rectangular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857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Graphs!$D$118:$D$252</c:f>
              <c:numCache>
                <c:formatCode>0.00</c:formatCode>
                <c:ptCount val="135"/>
                <c:pt idx="0">
                  <c:v>46.64</c:v>
                </c:pt>
                <c:pt idx="1">
                  <c:v>46.64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97.28</c:v>
                </c:pt>
                <c:pt idx="17">
                  <c:v>97.28</c:v>
                </c:pt>
                <c:pt idx="18">
                  <c:v>97.28</c:v>
                </c:pt>
                <c:pt idx="19">
                  <c:v>97.28</c:v>
                </c:pt>
                <c:pt idx="20">
                  <c:v>97.28</c:v>
                </c:pt>
                <c:pt idx="21">
                  <c:v>97.28</c:v>
                </c:pt>
                <c:pt idx="22">
                  <c:v>42.080000000000005</c:v>
                </c:pt>
                <c:pt idx="23">
                  <c:v>42.080000000000005</c:v>
                </c:pt>
                <c:pt idx="24">
                  <c:v>32.32</c:v>
                </c:pt>
                <c:pt idx="25">
                  <c:v>32.32</c:v>
                </c:pt>
                <c:pt idx="26">
                  <c:v>32.32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54.5</c:v>
                </c:pt>
                <c:pt idx="32">
                  <c:v>54.5</c:v>
                </c:pt>
                <c:pt idx="33">
                  <c:v>54.5</c:v>
                </c:pt>
                <c:pt idx="34">
                  <c:v>54.5</c:v>
                </c:pt>
                <c:pt idx="35">
                  <c:v>54.5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34.56</c:v>
                </c:pt>
                <c:pt idx="40">
                  <c:v>44.24</c:v>
                </c:pt>
                <c:pt idx="41">
                  <c:v>34.56</c:v>
                </c:pt>
                <c:pt idx="42">
                  <c:v>44.24</c:v>
                </c:pt>
                <c:pt idx="43">
                  <c:v>34.56</c:v>
                </c:pt>
                <c:pt idx="44">
                  <c:v>44.24</c:v>
                </c:pt>
                <c:pt idx="45">
                  <c:v>34.56</c:v>
                </c:pt>
                <c:pt idx="46">
                  <c:v>44.24</c:v>
                </c:pt>
                <c:pt idx="47">
                  <c:v>34.56</c:v>
                </c:pt>
                <c:pt idx="48">
                  <c:v>44.24</c:v>
                </c:pt>
                <c:pt idx="49">
                  <c:v>34.56</c:v>
                </c:pt>
                <c:pt idx="50">
                  <c:v>44.24</c:v>
                </c:pt>
                <c:pt idx="51">
                  <c:v>34.56</c:v>
                </c:pt>
                <c:pt idx="52">
                  <c:v>44.24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113</c:v>
                </c:pt>
                <c:pt idx="81">
                  <c:v>113</c:v>
                </c:pt>
                <c:pt idx="82">
                  <c:v>113</c:v>
                </c:pt>
                <c:pt idx="83">
                  <c:v>113</c:v>
                </c:pt>
                <c:pt idx="84">
                  <c:v>113</c:v>
                </c:pt>
                <c:pt idx="85">
                  <c:v>113</c:v>
                </c:pt>
                <c:pt idx="86">
                  <c:v>113</c:v>
                </c:pt>
                <c:pt idx="87">
                  <c:v>113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113</c:v>
                </c:pt>
                <c:pt idx="105">
                  <c:v>113</c:v>
                </c:pt>
                <c:pt idx="106">
                  <c:v>113</c:v>
                </c:pt>
                <c:pt idx="107">
                  <c:v>113</c:v>
                </c:pt>
                <c:pt idx="108">
                  <c:v>113</c:v>
                </c:pt>
                <c:pt idx="109">
                  <c:v>113</c:v>
                </c:pt>
                <c:pt idx="110">
                  <c:v>113</c:v>
                </c:pt>
                <c:pt idx="111">
                  <c:v>113</c:v>
                </c:pt>
                <c:pt idx="112">
                  <c:v>113</c:v>
                </c:pt>
                <c:pt idx="113">
                  <c:v>113</c:v>
                </c:pt>
                <c:pt idx="114">
                  <c:v>113</c:v>
                </c:pt>
                <c:pt idx="115">
                  <c:v>113</c:v>
                </c:pt>
                <c:pt idx="116">
                  <c:v>113</c:v>
                </c:pt>
                <c:pt idx="117">
                  <c:v>113</c:v>
                </c:pt>
                <c:pt idx="118">
                  <c:v>113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113</c:v>
                </c:pt>
                <c:pt idx="128">
                  <c:v>113</c:v>
                </c:pt>
                <c:pt idx="129">
                  <c:v>113</c:v>
                </c:pt>
                <c:pt idx="130">
                  <c:v>113</c:v>
                </c:pt>
                <c:pt idx="131">
                  <c:v>113</c:v>
                </c:pt>
                <c:pt idx="132">
                  <c:v>113</c:v>
                </c:pt>
                <c:pt idx="133">
                  <c:v>113</c:v>
                </c:pt>
                <c:pt idx="134">
                  <c:v>113</c:v>
                </c:pt>
              </c:numCache>
            </c:numRef>
          </c:xVal>
          <c:yVal>
            <c:numRef>
              <c:f>Graphs!$B$118:$B$252</c:f>
              <c:numCache>
                <c:formatCode>0.00</c:formatCode>
                <c:ptCount val="135"/>
                <c:pt idx="0">
                  <c:v>0.83498959311202969</c:v>
                </c:pt>
                <c:pt idx="1">
                  <c:v>0.91725904218741761</c:v>
                </c:pt>
                <c:pt idx="2">
                  <c:v>0.97785268845547213</c:v>
                </c:pt>
                <c:pt idx="3">
                  <c:v>1.0166713205801823</c:v>
                </c:pt>
                <c:pt idx="4">
                  <c:v>1.0174769558206009</c:v>
                </c:pt>
                <c:pt idx="5">
                  <c:v>0.96481008166374838</c:v>
                </c:pt>
                <c:pt idx="6">
                  <c:v>1.0146724610920443</c:v>
                </c:pt>
                <c:pt idx="7">
                  <c:v>0.8513232639744428</c:v>
                </c:pt>
                <c:pt idx="8">
                  <c:v>0.95083090387945446</c:v>
                </c:pt>
                <c:pt idx="9">
                  <c:v>1.0300704799382059</c:v>
                </c:pt>
                <c:pt idx="10">
                  <c:v>0.99580797630716911</c:v>
                </c:pt>
                <c:pt idx="11">
                  <c:v>0.99020061145197991</c:v>
                </c:pt>
                <c:pt idx="12">
                  <c:v>0.8475015022016702</c:v>
                </c:pt>
                <c:pt idx="13">
                  <c:v>0.85521243398348845</c:v>
                </c:pt>
                <c:pt idx="14">
                  <c:v>0.83418262003307486</c:v>
                </c:pt>
                <c:pt idx="15">
                  <c:v>0.85521243398348845</c:v>
                </c:pt>
                <c:pt idx="16">
                  <c:v>0.77207461278325928</c:v>
                </c:pt>
                <c:pt idx="17">
                  <c:v>0.7697881134364184</c:v>
                </c:pt>
                <c:pt idx="18">
                  <c:v>0.84247402900412183</c:v>
                </c:pt>
                <c:pt idx="19">
                  <c:v>0.87009612831573235</c:v>
                </c:pt>
                <c:pt idx="20">
                  <c:v>1.1268432212303032</c:v>
                </c:pt>
                <c:pt idx="21">
                  <c:v>1.1078247702390744</c:v>
                </c:pt>
                <c:pt idx="22">
                  <c:v>0.91163009081663771</c:v>
                </c:pt>
                <c:pt idx="23">
                  <c:v>0.97362208234546388</c:v>
                </c:pt>
                <c:pt idx="24">
                  <c:v>0.88193968068226591</c:v>
                </c:pt>
                <c:pt idx="25">
                  <c:v>0.78707014396498165</c:v>
                </c:pt>
                <c:pt idx="26">
                  <c:v>0.74462964831605571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1.039929375373448</c:v>
                </c:pt>
                <c:pt idx="40">
                  <c:v>1.0054475724416583</c:v>
                </c:pt>
                <c:pt idx="41">
                  <c:v>1.0841409537430331</c:v>
                </c:pt>
                <c:pt idx="42">
                  <c:v>1.0279268875942165</c:v>
                </c:pt>
                <c:pt idx="43">
                  <c:v>1.143647787164904</c:v>
                </c:pt>
                <c:pt idx="44">
                  <c:v>1.081107087053826</c:v>
                </c:pt>
                <c:pt idx="45">
                  <c:v>1.195674882903526</c:v>
                </c:pt>
                <c:pt idx="46">
                  <c:v>1.1961263896614334</c:v>
                </c:pt>
                <c:pt idx="47">
                  <c:v>0.98682991520182983</c:v>
                </c:pt>
                <c:pt idx="48">
                  <c:v>0.986270339790984</c:v>
                </c:pt>
                <c:pt idx="49">
                  <c:v>1.4479475695374522</c:v>
                </c:pt>
                <c:pt idx="50">
                  <c:v>1.4887963516206053</c:v>
                </c:pt>
                <c:pt idx="51">
                  <c:v>1.2169766163285427</c:v>
                </c:pt>
                <c:pt idx="52">
                  <c:v>1.1230163059063751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59-487C-8E56-13019EEA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78152"/>
        <c:axId val="404578480"/>
      </c:scatterChart>
      <c:valAx>
        <c:axId val="404578152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/>
                  <a:t>Concrete  Cylinder  Strength   N/mm</a:t>
                </a:r>
                <a:r>
                  <a:rPr lang="en-GB" sz="1200" b="1" baseline="30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78480"/>
        <c:crosses val="autoZero"/>
        <c:crossBetween val="midCat"/>
        <c:majorUnit val="25"/>
      </c:valAx>
      <c:valAx>
        <c:axId val="4045784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</a:t>
                </a:r>
                <a:r>
                  <a:rPr lang="en-GB" sz="1200" b="1" baseline="0">
                    <a:solidFill>
                      <a:sysClr val="windowText" lastClr="000000"/>
                    </a:solidFill>
                  </a:rPr>
                  <a:t>  Test/EC4</a:t>
                </a:r>
                <a:endParaRPr lang="en-GB" sz="12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646737546411873E-2"/>
              <c:y val="0.298724617256435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chemeClr val="bg1"/>
          </a:solidFill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78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40289094239121"/>
          <c:y val="0.20319655613088813"/>
          <c:w val="0.35675478897552482"/>
          <c:h val="6.985059858019925E-2"/>
        </c:manualLayout>
      </c:layout>
      <c:overlay val="0"/>
      <c:spPr>
        <a:solidFill>
          <a:schemeClr val="lt1"/>
        </a:solidFill>
        <a:ln w="9525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419099</xdr:colOff>
      <xdr:row>6</xdr:row>
      <xdr:rowOff>85725</xdr:rowOff>
    </xdr:from>
    <xdr:to>
      <xdr:col>17</xdr:col>
      <xdr:colOff>67235</xdr:colOff>
      <xdr:row>23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164495-053F-4A55-844E-70EEB1528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560293</xdr:colOff>
      <xdr:row>24</xdr:row>
      <xdr:rowOff>11206</xdr:rowOff>
    </xdr:from>
    <xdr:to>
      <xdr:col>18</xdr:col>
      <xdr:colOff>190499</xdr:colOff>
      <xdr:row>39</xdr:row>
      <xdr:rowOff>31383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20895EF-DC17-484B-B485-05E2C3568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0.08657</cdr:x>
      <cdr:y>0.69387</cdr:y>
    </cdr:from>
    <cdr:to>
      <cdr:x>0.94324</cdr:x>
      <cdr:y>0.69933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FA33259-6060-4AFE-8285-60B7B03739EE}"/>
            </a:ext>
          </a:extLst>
        </cdr:cNvPr>
        <cdr:cNvCxnSpPr/>
      </cdr:nvCxnSpPr>
      <cdr:spPr>
        <a:xfrm xmlns:a="http://schemas.openxmlformats.org/drawingml/2006/main" flipV="1">
          <a:off x="598160" y="2233893"/>
          <a:ext cx="5919182" cy="1756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0.11048</cdr:x>
      <cdr:y>0.67567</cdr:y>
    </cdr:from>
    <cdr:to>
      <cdr:x>0.95067</cdr:x>
      <cdr:y>0.67663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CEB3F06-2B04-43E7-8FB9-D54ECFA408A5}"/>
            </a:ext>
          </a:extLst>
        </cdr:cNvPr>
        <cdr:cNvCxnSpPr/>
      </cdr:nvCxnSpPr>
      <cdr:spPr>
        <a:xfrm xmlns:a="http://schemas.openxmlformats.org/drawingml/2006/main" flipV="1">
          <a:off x="839468" y="2073088"/>
          <a:ext cx="6383816" cy="292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0070C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tabSelected="1" topLeftCell="A3" zoomScaleNormal="100" workbookViewId="0">
      <pane xSplit="1" ySplit="6" topLeftCell="B11" activePane="bottomRight" state="frozen"/>
      <selection activeCell="A3" sqref="A3"/>
      <selection pane="topRight" activeCell="B3" sqref="B3"/>
      <selection pane="bottomLeft" activeCell="A6" sqref="A6"/>
      <selection pane="bottomRight" activeCell="AE11" sqref="AE11"/>
    </sheetView>
  </sheetViews>
  <sheetFormatPr defaultRowHeight="15" x14ac:dyDescent="0.25"/>
  <cols>
    <col min="1" max="1" width="10.7109375" customWidth="1"/>
    <col min="9" max="9" width="9.140625" style="1"/>
  </cols>
  <sheetData>
    <row r="1" spans="1:14" x14ac:dyDescent="0.25">
      <c r="A1" s="42" t="s">
        <v>263</v>
      </c>
      <c r="B1" s="42"/>
      <c r="C1" s="42"/>
      <c r="D1" s="42"/>
      <c r="E1" s="42"/>
      <c r="F1" s="42"/>
      <c r="G1" s="43" t="s">
        <v>0</v>
      </c>
      <c r="H1" s="43"/>
      <c r="I1" s="28"/>
      <c r="J1" s="28"/>
      <c r="K1" s="30"/>
    </row>
    <row r="2" spans="1:14" x14ac:dyDescent="0.25">
      <c r="A2" s="40" t="s">
        <v>267</v>
      </c>
      <c r="B2" s="40"/>
      <c r="C2" s="40"/>
      <c r="D2" s="40"/>
      <c r="E2" s="40"/>
      <c r="F2" s="40"/>
      <c r="G2" s="41" t="s">
        <v>2</v>
      </c>
      <c r="H2" s="41"/>
      <c r="I2" s="41"/>
      <c r="J2" s="41"/>
      <c r="K2" s="41"/>
    </row>
    <row r="3" spans="1:14" s="1" customFormat="1" x14ac:dyDescent="0.25">
      <c r="A3" s="42" t="s">
        <v>263</v>
      </c>
      <c r="B3" s="42"/>
      <c r="C3" s="42"/>
      <c r="D3" s="42"/>
      <c r="E3" s="42"/>
      <c r="F3" s="42"/>
      <c r="G3" s="42" t="s">
        <v>0</v>
      </c>
      <c r="H3" s="42"/>
      <c r="I3" s="42"/>
      <c r="J3" s="33"/>
      <c r="K3" s="33"/>
    </row>
    <row r="4" spans="1:14" s="1" customFormat="1" x14ac:dyDescent="0.25">
      <c r="A4" s="40" t="s">
        <v>270</v>
      </c>
      <c r="B4" s="40"/>
      <c r="C4" s="40"/>
      <c r="D4" s="40"/>
      <c r="E4" s="40"/>
      <c r="F4" s="40"/>
      <c r="G4" s="41" t="s">
        <v>2</v>
      </c>
      <c r="H4" s="41"/>
      <c r="I4" s="41"/>
      <c r="J4" s="41"/>
      <c r="K4" s="33"/>
    </row>
    <row r="5" spans="1:14" s="1" customFormat="1" x14ac:dyDescent="0.25">
      <c r="A5" s="32"/>
      <c r="B5" s="32"/>
      <c r="C5" s="32"/>
      <c r="D5" s="32"/>
      <c r="E5" s="32"/>
      <c r="F5" s="32"/>
      <c r="G5" s="33"/>
      <c r="H5" s="33"/>
      <c r="I5" s="33"/>
      <c r="J5" s="33"/>
      <c r="K5" s="39"/>
    </row>
    <row r="6" spans="1:14" x14ac:dyDescent="0.25">
      <c r="A6" s="30"/>
      <c r="B6" s="30"/>
      <c r="C6" s="30"/>
      <c r="D6" s="30"/>
      <c r="E6" s="30"/>
      <c r="F6" s="30"/>
      <c r="G6" s="30"/>
      <c r="H6" s="6" t="s">
        <v>3</v>
      </c>
      <c r="I6" s="30"/>
      <c r="J6" s="30"/>
      <c r="K6" s="30"/>
    </row>
    <row r="7" spans="1:14" x14ac:dyDescent="0.25">
      <c r="A7" s="6" t="s">
        <v>5</v>
      </c>
      <c r="B7" s="6" t="s">
        <v>6</v>
      </c>
      <c r="C7" s="6" t="s">
        <v>7</v>
      </c>
      <c r="D7" s="6" t="s">
        <v>272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16</v>
      </c>
      <c r="J7" s="34" t="s">
        <v>13</v>
      </c>
      <c r="K7" s="6" t="s">
        <v>14</v>
      </c>
      <c r="L7" s="3" t="s">
        <v>19</v>
      </c>
      <c r="M7" s="18" t="s">
        <v>51</v>
      </c>
      <c r="N7" s="9" t="s">
        <v>51</v>
      </c>
    </row>
    <row r="8" spans="1:14" x14ac:dyDescent="0.25">
      <c r="A8" s="6"/>
      <c r="B8" s="6" t="s">
        <v>30</v>
      </c>
      <c r="C8" s="6" t="s">
        <v>30</v>
      </c>
      <c r="D8" s="6" t="s">
        <v>271</v>
      </c>
      <c r="E8" s="6" t="s">
        <v>271</v>
      </c>
      <c r="F8" s="6" t="s">
        <v>30</v>
      </c>
      <c r="G8" s="6"/>
      <c r="H8" s="6" t="s">
        <v>32</v>
      </c>
      <c r="I8" s="6"/>
      <c r="J8" s="34" t="s">
        <v>33</v>
      </c>
      <c r="K8" s="6" t="s">
        <v>34</v>
      </c>
      <c r="L8" s="3" t="s">
        <v>35</v>
      </c>
      <c r="M8" s="3" t="s">
        <v>40</v>
      </c>
      <c r="N8" s="38" t="s">
        <v>39</v>
      </c>
    </row>
    <row r="9" spans="1:14" x14ac:dyDescent="0.25">
      <c r="A9" s="11" t="s">
        <v>293</v>
      </c>
      <c r="B9" s="6">
        <v>1994</v>
      </c>
      <c r="C9" s="6" t="s">
        <v>79</v>
      </c>
      <c r="D9" s="6"/>
      <c r="E9" s="6"/>
      <c r="F9" s="6"/>
      <c r="G9" s="6"/>
      <c r="H9" s="6"/>
      <c r="I9" s="6"/>
      <c r="J9" s="6"/>
      <c r="K9" s="6"/>
    </row>
    <row r="10" spans="1:14" x14ac:dyDescent="0.25">
      <c r="A10" s="30" t="s">
        <v>45</v>
      </c>
      <c r="B10" s="30">
        <v>323.89999999999998</v>
      </c>
      <c r="C10" s="30">
        <v>5.6</v>
      </c>
      <c r="D10" s="30">
        <v>443.9</v>
      </c>
      <c r="E10" s="30">
        <v>92.3</v>
      </c>
      <c r="F10" s="30">
        <v>1000</v>
      </c>
      <c r="G10" s="8">
        <f>B10/C10</f>
        <v>57.839285714285715</v>
      </c>
      <c r="H10" s="8">
        <f>G10/(21150/D10)</f>
        <v>1.2139413204998311</v>
      </c>
      <c r="I10" s="8">
        <v>3.0873726458783599</v>
      </c>
      <c r="J10" s="30">
        <v>0.191</v>
      </c>
      <c r="K10" s="30">
        <v>11481</v>
      </c>
      <c r="L10">
        <v>10362</v>
      </c>
      <c r="M10" s="19">
        <v>1.1080000000000001</v>
      </c>
      <c r="N10">
        <v>1.19</v>
      </c>
    </row>
    <row r="11" spans="1:14" x14ac:dyDescent="0.25">
      <c r="A11" s="29" t="s">
        <v>81</v>
      </c>
      <c r="B11" s="6">
        <v>1995</v>
      </c>
      <c r="C11" s="6" t="s">
        <v>80</v>
      </c>
      <c r="D11" s="30"/>
      <c r="E11" s="30"/>
      <c r="F11" s="30"/>
      <c r="G11" s="8"/>
      <c r="H11" s="8"/>
      <c r="I11" s="8"/>
      <c r="J11" s="30"/>
      <c r="K11" s="30"/>
      <c r="M11" s="19"/>
    </row>
    <row r="12" spans="1:14" x14ac:dyDescent="0.25">
      <c r="A12" s="30" t="s">
        <v>46</v>
      </c>
      <c r="B12" s="30">
        <v>165.2</v>
      </c>
      <c r="C12" s="30">
        <v>4.5</v>
      </c>
      <c r="D12" s="30">
        <v>422</v>
      </c>
      <c r="E12" s="30">
        <v>40.9</v>
      </c>
      <c r="F12" s="30">
        <v>601</v>
      </c>
      <c r="G12" s="8">
        <f t="shared" ref="G12:G13" si="0">B12/C12</f>
        <v>36.711111111111109</v>
      </c>
      <c r="H12" s="8">
        <f t="shared" ref="H12:H13" si="1">G12/(21150/D12)</f>
        <v>0.73248647228789066</v>
      </c>
      <c r="I12" s="8">
        <v>3.6380145278450366</v>
      </c>
      <c r="J12" s="30">
        <v>0.17499999999999999</v>
      </c>
      <c r="K12" s="30">
        <v>1562</v>
      </c>
      <c r="L12">
        <v>2067</v>
      </c>
      <c r="M12" s="19">
        <v>0.75600000000000001</v>
      </c>
      <c r="N12">
        <v>0.76</v>
      </c>
    </row>
    <row r="13" spans="1:14" x14ac:dyDescent="0.25">
      <c r="A13" s="30" t="s">
        <v>265</v>
      </c>
      <c r="B13" s="30">
        <v>165.2</v>
      </c>
      <c r="C13" s="30">
        <v>4.5</v>
      </c>
      <c r="D13" s="30">
        <v>422</v>
      </c>
      <c r="E13" s="30">
        <v>41.7</v>
      </c>
      <c r="F13" s="30">
        <v>601</v>
      </c>
      <c r="G13" s="8">
        <f t="shared" si="0"/>
        <v>36.711111111111109</v>
      </c>
      <c r="H13" s="8">
        <f t="shared" si="1"/>
        <v>0.73248647228789066</v>
      </c>
      <c r="I13" s="8">
        <v>3.6380145278450366</v>
      </c>
      <c r="J13" s="30">
        <v>0.17599999999999999</v>
      </c>
      <c r="K13" s="30">
        <v>1233</v>
      </c>
      <c r="L13">
        <v>2081</v>
      </c>
      <c r="M13" s="19">
        <v>0.59299999999999997</v>
      </c>
      <c r="N13">
        <v>0.59</v>
      </c>
    </row>
    <row r="14" spans="1:14" s="1" customFormat="1" x14ac:dyDescent="0.25">
      <c r="A14" s="30"/>
      <c r="B14" s="30"/>
      <c r="C14" s="30"/>
      <c r="D14" s="30"/>
      <c r="E14" s="30"/>
      <c r="F14" s="30"/>
      <c r="G14" s="8"/>
      <c r="H14" s="8"/>
      <c r="I14" s="8"/>
      <c r="J14" s="30"/>
      <c r="K14" s="30"/>
      <c r="L14" s="3" t="s">
        <v>266</v>
      </c>
      <c r="M14" s="16">
        <f>AVERAGE(M12:M13)</f>
        <v>0.67449999999999999</v>
      </c>
      <c r="N14" s="3">
        <v>0.68</v>
      </c>
    </row>
    <row r="15" spans="1:14" x14ac:dyDescent="0.25">
      <c r="A15" s="29" t="s">
        <v>50</v>
      </c>
      <c r="B15" s="6">
        <v>2004</v>
      </c>
      <c r="C15" s="6" t="s">
        <v>76</v>
      </c>
      <c r="D15" s="30"/>
      <c r="E15" s="30"/>
      <c r="F15" s="30"/>
      <c r="G15" s="8"/>
      <c r="H15" s="8"/>
      <c r="I15" s="8"/>
      <c r="J15" s="30"/>
      <c r="K15" s="30"/>
      <c r="L15" s="3" t="s">
        <v>268</v>
      </c>
      <c r="M15" s="31">
        <f>STDEV(M12:M13)</f>
        <v>0.11525840533340739</v>
      </c>
      <c r="N15" s="31">
        <f>STDEV(N12:N13)</f>
        <v>0.12020815280171246</v>
      </c>
    </row>
    <row r="16" spans="1:14" x14ac:dyDescent="0.25">
      <c r="A16" s="30" t="s">
        <v>47</v>
      </c>
      <c r="B16" s="30">
        <v>114.09</v>
      </c>
      <c r="C16" s="30">
        <v>3.85</v>
      </c>
      <c r="D16" s="30">
        <v>343</v>
      </c>
      <c r="E16" s="30">
        <v>25.52</v>
      </c>
      <c r="F16" s="30">
        <v>300.5</v>
      </c>
      <c r="G16" s="8">
        <f t="shared" ref="G16:G18" si="2">B16/C16</f>
        <v>29.633766233766234</v>
      </c>
      <c r="H16" s="8">
        <f t="shared" ref="H16:H18" si="3">G16/(21150/D16)</f>
        <v>0.48058542875564153</v>
      </c>
      <c r="I16" s="8">
        <v>2.6338855289683583</v>
      </c>
      <c r="J16" s="30">
        <v>0.11</v>
      </c>
      <c r="K16" s="30">
        <v>948</v>
      </c>
      <c r="L16">
        <v>912</v>
      </c>
      <c r="M16" s="19">
        <v>1.0389999999999999</v>
      </c>
      <c r="N16">
        <v>1.1100000000000001</v>
      </c>
    </row>
    <row r="17" spans="1:14" x14ac:dyDescent="0.25">
      <c r="A17" s="30" t="s">
        <v>48</v>
      </c>
      <c r="B17" s="30">
        <v>114.54</v>
      </c>
      <c r="C17" s="30">
        <v>3.84</v>
      </c>
      <c r="D17" s="30">
        <v>343</v>
      </c>
      <c r="E17" s="30">
        <v>79.12</v>
      </c>
      <c r="F17" s="30">
        <v>300</v>
      </c>
      <c r="G17" s="8">
        <f t="shared" si="2"/>
        <v>29.828125000000004</v>
      </c>
      <c r="H17" s="8">
        <f t="shared" si="3"/>
        <v>0.48373744089834519</v>
      </c>
      <c r="I17" s="8">
        <v>2.6191723415400734</v>
      </c>
      <c r="J17" s="30">
        <v>0.13700000000000001</v>
      </c>
      <c r="K17" s="30">
        <v>1359</v>
      </c>
      <c r="L17">
        <v>1362</v>
      </c>
      <c r="M17" s="19">
        <v>0.998</v>
      </c>
      <c r="N17">
        <v>1.07</v>
      </c>
    </row>
    <row r="18" spans="1:14" x14ac:dyDescent="0.25">
      <c r="A18" s="30" t="s">
        <v>49</v>
      </c>
      <c r="B18" s="30">
        <v>114.37</v>
      </c>
      <c r="C18" s="30">
        <v>3.85</v>
      </c>
      <c r="D18" s="30">
        <v>343</v>
      </c>
      <c r="E18" s="30">
        <v>79.12</v>
      </c>
      <c r="F18" s="30">
        <v>299.5</v>
      </c>
      <c r="G18" s="8">
        <f t="shared" si="2"/>
        <v>29.706493506493509</v>
      </c>
      <c r="H18" s="8">
        <f t="shared" si="3"/>
        <v>0.48176488287126584</v>
      </c>
      <c r="I18" s="8">
        <v>2.6186937133863775</v>
      </c>
      <c r="J18" s="30">
        <v>0.13600000000000001</v>
      </c>
      <c r="K18" s="30">
        <v>1182</v>
      </c>
      <c r="L18">
        <v>1360</v>
      </c>
      <c r="M18" s="19">
        <v>0.86899999999999999</v>
      </c>
      <c r="N18">
        <v>0.93</v>
      </c>
    </row>
    <row r="19" spans="1:14" s="1" customFormat="1" x14ac:dyDescent="0.25">
      <c r="A19" s="30"/>
      <c r="B19" s="30"/>
      <c r="C19" s="30"/>
      <c r="D19" s="30"/>
      <c r="E19" s="30"/>
      <c r="F19" s="30"/>
      <c r="G19" s="8"/>
      <c r="H19" s="8"/>
      <c r="I19" s="8"/>
      <c r="J19" s="30"/>
      <c r="K19" s="30"/>
      <c r="L19" s="3" t="s">
        <v>84</v>
      </c>
      <c r="M19" s="16">
        <f>AVERAGE(M16:M18)</f>
        <v>0.96866666666666656</v>
      </c>
      <c r="N19" s="16">
        <v>1.0366666666666668</v>
      </c>
    </row>
    <row r="20" spans="1:14" x14ac:dyDescent="0.25">
      <c r="A20" s="28" t="s">
        <v>82</v>
      </c>
      <c r="B20" s="6">
        <v>2008</v>
      </c>
      <c r="C20" s="6" t="s">
        <v>77</v>
      </c>
      <c r="D20" s="30"/>
      <c r="E20" s="30"/>
      <c r="F20" s="30"/>
      <c r="G20" s="8"/>
      <c r="H20" s="8"/>
      <c r="I20" s="8"/>
      <c r="J20" s="30"/>
      <c r="K20" s="30"/>
      <c r="L20" s="3" t="s">
        <v>268</v>
      </c>
      <c r="M20" s="31">
        <f>STDEV(M16:M18)</f>
        <v>8.8714899162053537E-2</v>
      </c>
      <c r="N20" s="31">
        <f>STDEV(N16:N18)</f>
        <v>9.4516312525052187E-2</v>
      </c>
    </row>
    <row r="21" spans="1:14" x14ac:dyDescent="0.25">
      <c r="A21" s="1" t="s">
        <v>52</v>
      </c>
      <c r="B21" s="1">
        <v>219</v>
      </c>
      <c r="C21" s="1">
        <v>4.78</v>
      </c>
      <c r="D21" s="1">
        <v>350</v>
      </c>
      <c r="E21" s="30">
        <v>40.400000000000006</v>
      </c>
      <c r="F21" s="1">
        <v>650</v>
      </c>
      <c r="G21" s="8">
        <f t="shared" ref="G21:G42" si="4">B21/C21</f>
        <v>45.815899581589953</v>
      </c>
      <c r="H21" s="8">
        <f t="shared" ref="H21:H42" si="5">G21/(21150/D21)</f>
        <v>0.7581827353927415</v>
      </c>
      <c r="I21" s="8">
        <v>2.9680365296803655</v>
      </c>
      <c r="J21" s="30">
        <v>0.13800000000000001</v>
      </c>
      <c r="K21" s="1">
        <v>3400</v>
      </c>
      <c r="L21">
        <v>3017</v>
      </c>
      <c r="M21" s="19">
        <v>1.127</v>
      </c>
      <c r="N21">
        <v>1.2</v>
      </c>
    </row>
    <row r="22" spans="1:14" x14ac:dyDescent="0.25">
      <c r="A22" s="1" t="s">
        <v>53</v>
      </c>
      <c r="B22" s="1">
        <v>219</v>
      </c>
      <c r="C22" s="1">
        <v>4.72</v>
      </c>
      <c r="D22" s="1">
        <v>350</v>
      </c>
      <c r="E22" s="30">
        <v>40.400000000000006</v>
      </c>
      <c r="F22" s="1">
        <v>650</v>
      </c>
      <c r="G22" s="8">
        <f t="shared" si="4"/>
        <v>46.398305084745765</v>
      </c>
      <c r="H22" s="8">
        <f t="shared" si="5"/>
        <v>0.76782065152061552</v>
      </c>
      <c r="I22" s="8">
        <v>2.9680365296803655</v>
      </c>
      <c r="J22" s="30">
        <v>0.13800000000000001</v>
      </c>
      <c r="K22" s="1">
        <v>3350</v>
      </c>
      <c r="L22">
        <v>2998</v>
      </c>
      <c r="M22" s="19">
        <v>1.117</v>
      </c>
      <c r="N22">
        <v>1.19</v>
      </c>
    </row>
    <row r="23" spans="1:14" x14ac:dyDescent="0.25">
      <c r="A23" s="1" t="s">
        <v>54</v>
      </c>
      <c r="B23" s="1">
        <v>219</v>
      </c>
      <c r="C23" s="1">
        <v>4.75</v>
      </c>
      <c r="D23" s="1">
        <v>350</v>
      </c>
      <c r="E23" s="30">
        <v>34.080000000000005</v>
      </c>
      <c r="F23" s="1">
        <v>650</v>
      </c>
      <c r="G23" s="8">
        <f t="shared" si="4"/>
        <v>46.10526315789474</v>
      </c>
      <c r="H23" s="8">
        <f t="shared" si="5"/>
        <v>0.76297125793206422</v>
      </c>
      <c r="I23" s="8">
        <v>2.9680365296803655</v>
      </c>
      <c r="J23" s="30">
        <v>0.13300000000000001</v>
      </c>
      <c r="K23" s="1">
        <v>3150</v>
      </c>
      <c r="L23">
        <v>2805</v>
      </c>
      <c r="M23" s="19">
        <v>1.123</v>
      </c>
      <c r="N23">
        <v>1.19</v>
      </c>
    </row>
    <row r="24" spans="1:14" x14ac:dyDescent="0.25">
      <c r="A24" s="1" t="s">
        <v>55</v>
      </c>
      <c r="B24" s="1">
        <v>165</v>
      </c>
      <c r="C24" s="1">
        <v>2.73</v>
      </c>
      <c r="D24" s="1">
        <v>350</v>
      </c>
      <c r="E24" s="30">
        <v>61.760000000000005</v>
      </c>
      <c r="F24" s="1">
        <v>510</v>
      </c>
      <c r="G24" s="8">
        <f t="shared" si="4"/>
        <v>60.439560439560438</v>
      </c>
      <c r="H24" s="8">
        <f t="shared" si="5"/>
        <v>1.000181851245681</v>
      </c>
      <c r="I24" s="8">
        <v>3.0909090909090908</v>
      </c>
      <c r="J24" s="30">
        <v>0.16500000000000001</v>
      </c>
      <c r="K24" s="1">
        <v>2080</v>
      </c>
      <c r="L24">
        <v>1907</v>
      </c>
      <c r="M24" s="19">
        <v>1.091</v>
      </c>
      <c r="N24">
        <v>1.18</v>
      </c>
    </row>
    <row r="25" spans="1:14" x14ac:dyDescent="0.25">
      <c r="A25" s="1" t="s">
        <v>56</v>
      </c>
      <c r="B25" s="1">
        <v>165</v>
      </c>
      <c r="C25" s="1">
        <v>2.72</v>
      </c>
      <c r="D25" s="1">
        <v>350</v>
      </c>
      <c r="E25" s="1">
        <v>45.6</v>
      </c>
      <c r="F25" s="1">
        <v>510</v>
      </c>
      <c r="G25" s="8">
        <f t="shared" si="4"/>
        <v>60.661764705882348</v>
      </c>
      <c r="H25" s="8">
        <f t="shared" si="5"/>
        <v>1.0038589904046724</v>
      </c>
      <c r="I25" s="8">
        <v>3.0909090909090908</v>
      </c>
      <c r="J25" s="30">
        <v>0.152</v>
      </c>
      <c r="K25" s="1">
        <v>1750</v>
      </c>
      <c r="L25">
        <v>1599</v>
      </c>
      <c r="M25" s="19">
        <v>1.0940000000000001</v>
      </c>
      <c r="N25">
        <v>1.17</v>
      </c>
    </row>
    <row r="26" spans="1:14" x14ac:dyDescent="0.25">
      <c r="A26" s="1" t="s">
        <v>57</v>
      </c>
      <c r="B26" s="1">
        <v>165</v>
      </c>
      <c r="C26" s="1">
        <v>2.75</v>
      </c>
      <c r="D26" s="1">
        <v>350</v>
      </c>
      <c r="E26" s="1">
        <v>37.04</v>
      </c>
      <c r="F26" s="1">
        <v>510</v>
      </c>
      <c r="G26" s="8">
        <f t="shared" si="4"/>
        <v>60</v>
      </c>
      <c r="H26" s="8">
        <f t="shared" si="5"/>
        <v>0.99290780141843971</v>
      </c>
      <c r="I26" s="8">
        <v>3.0909090909090908</v>
      </c>
      <c r="J26" s="30">
        <v>0.14399999999999999</v>
      </c>
      <c r="K26" s="1">
        <v>1560</v>
      </c>
      <c r="L26">
        <v>1445</v>
      </c>
      <c r="M26" s="19">
        <v>1.08</v>
      </c>
      <c r="N26">
        <v>1.1499999999999999</v>
      </c>
    </row>
    <row r="27" spans="1:14" x14ac:dyDescent="0.25">
      <c r="A27" s="1" t="s">
        <v>58</v>
      </c>
      <c r="B27" s="1">
        <v>100</v>
      </c>
      <c r="C27" s="1">
        <v>1.9</v>
      </c>
      <c r="D27" s="1">
        <v>404</v>
      </c>
      <c r="E27" s="1">
        <v>97.28</v>
      </c>
      <c r="F27" s="1">
        <v>300</v>
      </c>
      <c r="G27" s="8">
        <f t="shared" si="4"/>
        <v>52.631578947368425</v>
      </c>
      <c r="H27" s="8">
        <f t="shared" si="5"/>
        <v>1.0053502550703</v>
      </c>
      <c r="I27" s="8">
        <v>3</v>
      </c>
      <c r="J27" s="30">
        <v>0.184</v>
      </c>
      <c r="K27" s="1">
        <v>1125</v>
      </c>
      <c r="L27">
        <v>1022</v>
      </c>
      <c r="M27" s="19">
        <v>1.101</v>
      </c>
      <c r="N27">
        <v>1.19</v>
      </c>
    </row>
    <row r="28" spans="1:14" x14ac:dyDescent="0.25">
      <c r="A28" s="1" t="s">
        <v>59</v>
      </c>
      <c r="B28" s="1">
        <v>100</v>
      </c>
      <c r="C28" s="1">
        <v>1.9</v>
      </c>
      <c r="D28" s="1">
        <v>404</v>
      </c>
      <c r="E28" s="1">
        <v>97.28</v>
      </c>
      <c r="F28" s="1">
        <v>300</v>
      </c>
      <c r="G28" s="8">
        <f t="shared" si="4"/>
        <v>52.631578947368425</v>
      </c>
      <c r="H28" s="8">
        <f t="shared" si="5"/>
        <v>1.0053502550703</v>
      </c>
      <c r="I28" s="8">
        <v>3</v>
      </c>
      <c r="J28" s="30">
        <v>0.184</v>
      </c>
      <c r="K28" s="1">
        <v>1085</v>
      </c>
      <c r="L28">
        <v>1022</v>
      </c>
      <c r="M28" s="19">
        <v>1.0620000000000001</v>
      </c>
      <c r="N28">
        <v>1.1399999999999999</v>
      </c>
    </row>
    <row r="29" spans="1:14" x14ac:dyDescent="0.25">
      <c r="A29" s="1" t="s">
        <v>60</v>
      </c>
      <c r="B29" s="1">
        <v>100</v>
      </c>
      <c r="C29" s="1">
        <v>1.9</v>
      </c>
      <c r="D29" s="1">
        <v>404</v>
      </c>
      <c r="E29" s="1">
        <v>97.28</v>
      </c>
      <c r="F29" s="1">
        <v>300</v>
      </c>
      <c r="G29" s="8">
        <f t="shared" si="4"/>
        <v>52.631578947368425</v>
      </c>
      <c r="H29" s="8">
        <f t="shared" si="5"/>
        <v>1.0053502550703</v>
      </c>
      <c r="I29" s="8">
        <v>3</v>
      </c>
      <c r="J29" s="30">
        <v>0.184</v>
      </c>
      <c r="K29" s="1">
        <v>1100</v>
      </c>
      <c r="L29">
        <v>1022</v>
      </c>
      <c r="M29" s="19">
        <v>1.0760000000000001</v>
      </c>
      <c r="N29">
        <v>1.1599999999999999</v>
      </c>
    </row>
    <row r="30" spans="1:14" x14ac:dyDescent="0.25">
      <c r="A30" s="1" t="s">
        <v>61</v>
      </c>
      <c r="B30" s="1">
        <v>100</v>
      </c>
      <c r="C30" s="1">
        <v>1.9</v>
      </c>
      <c r="D30" s="1">
        <v>404</v>
      </c>
      <c r="E30" s="1">
        <v>97.28</v>
      </c>
      <c r="F30" s="1">
        <v>300</v>
      </c>
      <c r="G30" s="8">
        <f t="shared" si="4"/>
        <v>52.631578947368425</v>
      </c>
      <c r="H30" s="8">
        <f t="shared" si="5"/>
        <v>1.0053502550703</v>
      </c>
      <c r="I30" s="8">
        <v>3</v>
      </c>
      <c r="J30" s="30">
        <v>0.184</v>
      </c>
      <c r="K30" s="1">
        <v>1170</v>
      </c>
      <c r="L30">
        <v>1022</v>
      </c>
      <c r="M30" s="19">
        <v>1.145</v>
      </c>
      <c r="N30">
        <v>1.23</v>
      </c>
    </row>
    <row r="31" spans="1:14" s="1" customFormat="1" x14ac:dyDescent="0.25">
      <c r="G31" s="8"/>
      <c r="H31" s="8"/>
      <c r="I31" s="8"/>
      <c r="J31" s="30"/>
      <c r="L31" s="3" t="s">
        <v>85</v>
      </c>
      <c r="M31" s="16">
        <f>AVERAGE(M21:M30)</f>
        <v>1.1015999999999999</v>
      </c>
      <c r="N31" s="16">
        <v>1.1800000000000002</v>
      </c>
    </row>
    <row r="32" spans="1:14" x14ac:dyDescent="0.25">
      <c r="A32" s="2" t="s">
        <v>83</v>
      </c>
      <c r="B32" s="3">
        <v>2013</v>
      </c>
      <c r="C32" s="3" t="s">
        <v>78</v>
      </c>
      <c r="D32" s="1"/>
      <c r="E32" s="1"/>
      <c r="F32" s="1"/>
      <c r="G32" s="8"/>
      <c r="H32" s="8"/>
      <c r="I32" s="8"/>
      <c r="J32" s="30"/>
      <c r="K32" s="1"/>
      <c r="L32" s="3" t="s">
        <v>268</v>
      </c>
      <c r="M32" s="31">
        <f>STDEV(M21:M30)</f>
        <v>2.6000854686806803E-2</v>
      </c>
      <c r="N32" s="31">
        <f>STDEV(N21:N30)</f>
        <v>2.6246692913372727E-2</v>
      </c>
    </row>
    <row r="33" spans="1:14" x14ac:dyDescent="0.25">
      <c r="A33" s="1" t="s">
        <v>64</v>
      </c>
      <c r="B33" s="1">
        <v>111.64</v>
      </c>
      <c r="C33" s="1">
        <v>1.9</v>
      </c>
      <c r="D33" s="1">
        <v>261.3</v>
      </c>
      <c r="E33" s="1">
        <v>38.24</v>
      </c>
      <c r="F33" s="1">
        <v>400</v>
      </c>
      <c r="G33" s="8">
        <f t="shared" si="4"/>
        <v>58.757894736842111</v>
      </c>
      <c r="H33" s="8">
        <f t="shared" si="5"/>
        <v>0.72593086972751031</v>
      </c>
      <c r="I33" s="8">
        <v>3.5829451809387316</v>
      </c>
      <c r="J33" s="30">
        <v>0.159</v>
      </c>
      <c r="K33" s="1">
        <v>666.6</v>
      </c>
      <c r="L33">
        <v>588</v>
      </c>
      <c r="M33" s="19">
        <v>1.1339999999999999</v>
      </c>
      <c r="N33">
        <v>1.21</v>
      </c>
    </row>
    <row r="34" spans="1:14" x14ac:dyDescent="0.25">
      <c r="A34" s="1" t="s">
        <v>65</v>
      </c>
      <c r="B34" s="1">
        <v>111.64</v>
      </c>
      <c r="C34" s="1">
        <v>1.9</v>
      </c>
      <c r="D34" s="1">
        <v>261.3</v>
      </c>
      <c r="E34" s="1">
        <v>45.360000000000007</v>
      </c>
      <c r="F34" s="1">
        <v>400</v>
      </c>
      <c r="G34" s="8">
        <f t="shared" si="4"/>
        <v>58.757894736842111</v>
      </c>
      <c r="H34" s="8">
        <f t="shared" si="5"/>
        <v>0.72593086972751031</v>
      </c>
      <c r="I34" s="8">
        <v>3.5829451809387316</v>
      </c>
      <c r="J34" s="30">
        <v>0.16700000000000001</v>
      </c>
      <c r="K34" s="1">
        <v>701.9</v>
      </c>
      <c r="L34">
        <v>650</v>
      </c>
      <c r="M34" s="19">
        <v>1.08</v>
      </c>
      <c r="N34">
        <v>1.1599999999999999</v>
      </c>
    </row>
    <row r="35" spans="1:14" x14ac:dyDescent="0.25">
      <c r="A35" s="1" t="s">
        <v>66</v>
      </c>
      <c r="B35" s="1">
        <v>113.64</v>
      </c>
      <c r="C35" s="1">
        <v>3.64</v>
      </c>
      <c r="D35" s="1">
        <v>259.60000000000002</v>
      </c>
      <c r="E35" s="1">
        <v>45.360000000000007</v>
      </c>
      <c r="F35" s="1">
        <v>400</v>
      </c>
      <c r="G35" s="8">
        <f t="shared" si="4"/>
        <v>31.219780219780219</v>
      </c>
      <c r="H35" s="8">
        <f t="shared" si="5"/>
        <v>0.38319881536902817</v>
      </c>
      <c r="I35" s="8">
        <v>3.5198873636043646</v>
      </c>
      <c r="J35" s="30">
        <v>0.151</v>
      </c>
      <c r="K35" s="1">
        <v>1011</v>
      </c>
      <c r="L35">
        <v>856</v>
      </c>
      <c r="M35" s="19">
        <v>1.181</v>
      </c>
      <c r="N35">
        <v>1.24</v>
      </c>
    </row>
    <row r="36" spans="1:14" x14ac:dyDescent="0.25">
      <c r="A36" s="2"/>
      <c r="B36" s="3"/>
      <c r="C36" s="3"/>
      <c r="D36" s="1"/>
      <c r="E36" s="1"/>
      <c r="F36" s="1"/>
      <c r="G36" s="8"/>
      <c r="H36" s="8"/>
      <c r="I36" s="8"/>
      <c r="J36" s="30"/>
      <c r="K36" s="1"/>
      <c r="L36" s="3" t="s">
        <v>84</v>
      </c>
      <c r="M36" s="16">
        <f>AVERAGE(M33:M35)</f>
        <v>1.1316666666666666</v>
      </c>
      <c r="N36" s="16">
        <v>1.2033333333333334</v>
      </c>
    </row>
    <row r="37" spans="1:14" x14ac:dyDescent="0.25">
      <c r="A37" s="2" t="s">
        <v>73</v>
      </c>
      <c r="B37" s="3">
        <v>2001</v>
      </c>
      <c r="C37" s="3" t="s">
        <v>63</v>
      </c>
      <c r="D37" s="1"/>
      <c r="E37" s="1"/>
      <c r="F37" s="1"/>
      <c r="G37" s="8"/>
      <c r="H37" s="8"/>
      <c r="I37" s="8"/>
      <c r="J37" s="30"/>
      <c r="K37" s="1"/>
      <c r="L37" s="3" t="s">
        <v>268</v>
      </c>
      <c r="M37" s="31">
        <f>STDEV(M33:M35)</f>
        <v>5.0540412872604551E-2</v>
      </c>
      <c r="N37" s="31">
        <f>STDEV(N33:N35)</f>
        <v>4.0414518843273836E-2</v>
      </c>
    </row>
    <row r="38" spans="1:14" x14ac:dyDescent="0.25">
      <c r="A38" s="1" t="s">
        <v>74</v>
      </c>
      <c r="B38" s="1">
        <v>114.3</v>
      </c>
      <c r="C38" s="1">
        <v>2.74</v>
      </c>
      <c r="D38" s="1">
        <v>235</v>
      </c>
      <c r="E38" s="1">
        <v>56.2</v>
      </c>
      <c r="F38" s="1">
        <v>300</v>
      </c>
      <c r="G38" s="8">
        <f t="shared" si="4"/>
        <v>41.715328467153277</v>
      </c>
      <c r="H38" s="8">
        <f t="shared" si="5"/>
        <v>0.46350364963503643</v>
      </c>
      <c r="I38" s="8">
        <v>2.6246719160104988</v>
      </c>
      <c r="J38" s="30">
        <v>0.122</v>
      </c>
      <c r="K38" s="1">
        <v>902</v>
      </c>
      <c r="L38">
        <v>857</v>
      </c>
      <c r="M38" s="19">
        <v>1.0529999999999999</v>
      </c>
      <c r="N38">
        <v>1.17</v>
      </c>
    </row>
    <row r="39" spans="1:14" x14ac:dyDescent="0.25">
      <c r="A39" s="1" t="s">
        <v>74</v>
      </c>
      <c r="B39" s="1">
        <v>114.3</v>
      </c>
      <c r="C39" s="1">
        <v>2.74</v>
      </c>
      <c r="D39" s="1">
        <v>235</v>
      </c>
      <c r="E39" s="1">
        <v>66.75</v>
      </c>
      <c r="F39" s="1">
        <v>300</v>
      </c>
      <c r="G39" s="8">
        <f t="shared" si="4"/>
        <v>41.715328467153277</v>
      </c>
      <c r="H39" s="8">
        <f t="shared" si="5"/>
        <v>0.46350364963503643</v>
      </c>
      <c r="I39" s="8">
        <v>2.6246719160104988</v>
      </c>
      <c r="J39" s="30">
        <v>0.129</v>
      </c>
      <c r="K39" s="1">
        <v>981</v>
      </c>
      <c r="L39">
        <v>951</v>
      </c>
      <c r="M39" s="19">
        <v>1.032</v>
      </c>
      <c r="N39">
        <v>1.1399999999999999</v>
      </c>
    </row>
    <row r="40" spans="1:14" x14ac:dyDescent="0.25">
      <c r="A40" s="1" t="s">
        <v>74</v>
      </c>
      <c r="B40" s="1">
        <v>114.3</v>
      </c>
      <c r="C40" s="1">
        <v>2.74</v>
      </c>
      <c r="D40" s="1">
        <v>235</v>
      </c>
      <c r="E40" s="1">
        <v>107.2</v>
      </c>
      <c r="F40" s="1">
        <v>300</v>
      </c>
      <c r="G40" s="8">
        <f t="shared" si="4"/>
        <v>41.715328467153277</v>
      </c>
      <c r="H40" s="8">
        <f t="shared" si="5"/>
        <v>0.46350364963503643</v>
      </c>
      <c r="I40" s="8">
        <v>2.6246719160104988</v>
      </c>
      <c r="J40" s="30">
        <v>0.151</v>
      </c>
      <c r="K40" s="1">
        <v>1295</v>
      </c>
      <c r="L40">
        <v>1314</v>
      </c>
      <c r="M40" s="19">
        <v>0.98599999999999999</v>
      </c>
      <c r="N40">
        <v>1.1000000000000001</v>
      </c>
    </row>
    <row r="41" spans="1:14" x14ac:dyDescent="0.25">
      <c r="A41" s="1" t="s">
        <v>75</v>
      </c>
      <c r="B41" s="1">
        <v>114.3</v>
      </c>
      <c r="C41" s="1">
        <v>5.9</v>
      </c>
      <c r="D41" s="1">
        <v>355</v>
      </c>
      <c r="E41" s="1">
        <v>56.2</v>
      </c>
      <c r="F41" s="1">
        <v>300</v>
      </c>
      <c r="G41" s="8">
        <f t="shared" si="4"/>
        <v>19.372881355932201</v>
      </c>
      <c r="H41" s="8">
        <f t="shared" si="5"/>
        <v>0.32517129462675798</v>
      </c>
      <c r="I41" s="8">
        <v>2.6246719160104988</v>
      </c>
      <c r="J41" s="30">
        <v>0.122</v>
      </c>
      <c r="K41" s="1">
        <v>1736</v>
      </c>
      <c r="L41">
        <v>1479</v>
      </c>
      <c r="M41" s="19">
        <v>1.1739999999999999</v>
      </c>
      <c r="N41">
        <v>1.23</v>
      </c>
    </row>
    <row r="42" spans="1:14" x14ac:dyDescent="0.25">
      <c r="A42" s="1" t="s">
        <v>75</v>
      </c>
      <c r="B42" s="1">
        <v>114.3</v>
      </c>
      <c r="C42" s="1">
        <v>5.9</v>
      </c>
      <c r="D42" s="1">
        <v>355</v>
      </c>
      <c r="E42" s="1">
        <v>66.75</v>
      </c>
      <c r="F42" s="1">
        <v>300</v>
      </c>
      <c r="G42" s="8">
        <f t="shared" si="4"/>
        <v>19.372881355932201</v>
      </c>
      <c r="H42" s="8">
        <f t="shared" si="5"/>
        <v>0.32517129462675798</v>
      </c>
      <c r="I42" s="8">
        <v>2.6246719160104988</v>
      </c>
      <c r="J42" s="30">
        <v>0.126</v>
      </c>
      <c r="K42" s="1">
        <v>1819</v>
      </c>
      <c r="L42">
        <v>1559</v>
      </c>
      <c r="M42" s="19">
        <v>1.167</v>
      </c>
      <c r="N42">
        <v>1.23</v>
      </c>
    </row>
    <row r="43" spans="1:14" x14ac:dyDescent="0.25">
      <c r="L43" s="3" t="s">
        <v>262</v>
      </c>
      <c r="M43" s="16">
        <f>AVERAGE(M38:M42)</f>
        <v>1.0823999999999998</v>
      </c>
      <c r="N43" s="16">
        <v>1.1739999999999999</v>
      </c>
    </row>
    <row r="44" spans="1:14" x14ac:dyDescent="0.25">
      <c r="L44" s="3" t="s">
        <v>268</v>
      </c>
      <c r="M44" s="31">
        <f>STDEV(M38:M42)</f>
        <v>8.4031541697150838E-2</v>
      </c>
      <c r="N44" s="31">
        <f>STDEV(N38:N42)</f>
        <v>5.6833088953531265E-2</v>
      </c>
    </row>
    <row r="45" spans="1:14" s="1" customFormat="1" x14ac:dyDescent="0.25">
      <c r="L45" s="3"/>
      <c r="M45" s="31"/>
    </row>
    <row r="46" spans="1:14" x14ac:dyDescent="0.25">
      <c r="D46">
        <f>COUNTIF(E10:E42, "&gt;75")</f>
        <v>8</v>
      </c>
      <c r="E46" t="s">
        <v>286</v>
      </c>
      <c r="F46" s="19" t="s">
        <v>287</v>
      </c>
      <c r="G46" s="37">
        <f t="array" ref="G46">AVERAGE(IF(E10:E42 &gt;75,M10:M42))</f>
        <v>1.0431250000000001</v>
      </c>
      <c r="K46" s="3" t="s">
        <v>86</v>
      </c>
      <c r="L46" s="2" t="s">
        <v>269</v>
      </c>
      <c r="M46" s="16">
        <f>(M10+M14*2+M19*3+M31*10+M36*3+M43*5)/24</f>
        <v>1.0494166666666664</v>
      </c>
      <c r="N46" s="16">
        <f>(N10+N14*2+N19*3+N31*10+N36*3+N43*5)/24</f>
        <v>1.1224999999999998</v>
      </c>
    </row>
    <row r="47" spans="1:14" x14ac:dyDescent="0.25">
      <c r="K47" s="3" t="s">
        <v>86</v>
      </c>
      <c r="L47" s="2" t="s">
        <v>268</v>
      </c>
      <c r="M47" s="31">
        <f>(M15*2+M20*3+M32*10+M37*3+M44*5)/23</f>
        <v>5.7758652266287444E-2</v>
      </c>
      <c r="N47" s="31">
        <f>(N15*2+N20*3+N32*10+N37*3+N44*5)/23</f>
        <v>5.181918146129507E-2</v>
      </c>
    </row>
  </sheetData>
  <mergeCells count="8">
    <mergeCell ref="A4:F4"/>
    <mergeCell ref="G4:J4"/>
    <mergeCell ref="A1:F1"/>
    <mergeCell ref="A2:F2"/>
    <mergeCell ref="G2:K2"/>
    <mergeCell ref="G1:H1"/>
    <mergeCell ref="A3:F3"/>
    <mergeCell ref="G3:I3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0"/>
  <sheetViews>
    <sheetView showGridLines="0" zoomScale="85" zoomScaleNormal="85" zoomScaleSheetLayoutView="55" workbookViewId="0">
      <pane xSplit="1" ySplit="5" topLeftCell="K24" activePane="bottomRight" state="frozen"/>
      <selection pane="topRight" activeCell="B1" sqref="B1"/>
      <selection pane="bottomLeft" activeCell="A6" sqref="A6"/>
      <selection pane="bottomRight" activeCell="S32" sqref="S32:S37"/>
    </sheetView>
  </sheetViews>
  <sheetFormatPr defaultRowHeight="15" x14ac:dyDescent="0.25"/>
  <sheetData>
    <row r="1" spans="1:29" x14ac:dyDescent="0.25">
      <c r="A1" s="42" t="s">
        <v>263</v>
      </c>
      <c r="B1" s="42"/>
      <c r="C1" s="42"/>
      <c r="D1" s="42"/>
      <c r="E1" s="42"/>
      <c r="F1" s="42"/>
      <c r="G1" s="42" t="s">
        <v>0</v>
      </c>
      <c r="H1" s="42"/>
      <c r="I1" s="4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x14ac:dyDescent="0.25">
      <c r="A2" s="40" t="s">
        <v>1</v>
      </c>
      <c r="B2" s="40"/>
      <c r="C2" s="40"/>
      <c r="D2" s="40"/>
      <c r="E2" s="40"/>
      <c r="F2" s="40"/>
      <c r="G2" s="41" t="s">
        <v>2</v>
      </c>
      <c r="H2" s="41"/>
      <c r="I2" s="41"/>
      <c r="J2" s="4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x14ac:dyDescent="0.25">
      <c r="A3" s="4"/>
      <c r="B3" s="4"/>
      <c r="C3" s="4"/>
      <c r="D3" s="4"/>
      <c r="E3" s="4"/>
      <c r="F3" s="4"/>
      <c r="G3" s="4"/>
      <c r="H3" s="4" t="s">
        <v>3</v>
      </c>
      <c r="I3" s="4"/>
      <c r="J3" s="4"/>
      <c r="K3" s="4"/>
      <c r="L3" s="4"/>
      <c r="M3" s="4" t="s">
        <v>4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25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9" t="s">
        <v>51</v>
      </c>
      <c r="R4" s="9" t="s">
        <v>21</v>
      </c>
      <c r="S4" s="9" t="s">
        <v>51</v>
      </c>
      <c r="T4" s="9" t="s">
        <v>51</v>
      </c>
      <c r="U4" s="9" t="s">
        <v>51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6" t="s">
        <v>29</v>
      </c>
    </row>
    <row r="5" spans="1:29" x14ac:dyDescent="0.25">
      <c r="A5" s="6"/>
      <c r="B5" s="6" t="s">
        <v>30</v>
      </c>
      <c r="C5" s="6" t="s">
        <v>30</v>
      </c>
      <c r="D5" s="6" t="s">
        <v>31</v>
      </c>
      <c r="E5" s="6" t="s">
        <v>31</v>
      </c>
      <c r="F5" s="6" t="s">
        <v>30</v>
      </c>
      <c r="G5" s="6"/>
      <c r="H5" s="6" t="s">
        <v>32</v>
      </c>
      <c r="I5" s="6" t="s">
        <v>33</v>
      </c>
      <c r="J5" s="6" t="s">
        <v>34</v>
      </c>
      <c r="K5" s="6" t="s">
        <v>35</v>
      </c>
      <c r="L5" s="6"/>
      <c r="M5" s="7" t="s">
        <v>36</v>
      </c>
      <c r="N5" s="6" t="s">
        <v>35</v>
      </c>
      <c r="O5" s="6" t="s">
        <v>35</v>
      </c>
      <c r="P5" s="6" t="s">
        <v>35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 t="s">
        <v>42</v>
      </c>
      <c r="W5" s="6" t="s">
        <v>43</v>
      </c>
      <c r="X5" s="6" t="s">
        <v>43</v>
      </c>
      <c r="Y5" s="6"/>
      <c r="Z5" s="6"/>
      <c r="AA5" s="6"/>
      <c r="AB5" s="6"/>
      <c r="AC5" s="7" t="s">
        <v>44</v>
      </c>
    </row>
    <row r="6" spans="1:29" x14ac:dyDescent="0.25">
      <c r="A6" s="11" t="s">
        <v>293</v>
      </c>
      <c r="B6" s="6">
        <v>1994</v>
      </c>
      <c r="C6" s="6" t="s">
        <v>79</v>
      </c>
      <c r="D6" s="6"/>
      <c r="E6" s="6"/>
      <c r="F6" s="6"/>
      <c r="G6" s="6"/>
      <c r="H6" s="6"/>
      <c r="I6" s="6"/>
      <c r="J6" s="6"/>
      <c r="K6" s="6"/>
      <c r="L6" s="6"/>
      <c r="M6" s="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</row>
    <row r="7" spans="1:29" x14ac:dyDescent="0.25">
      <c r="A7" s="4" t="s">
        <v>45</v>
      </c>
      <c r="B7" s="4">
        <v>323.89999999999998</v>
      </c>
      <c r="C7" s="4">
        <v>5.6</v>
      </c>
      <c r="D7" s="4">
        <v>443.9</v>
      </c>
      <c r="E7" s="4">
        <v>92.3</v>
      </c>
      <c r="F7" s="4">
        <v>1000</v>
      </c>
      <c r="G7" s="8">
        <f>B7/C7</f>
        <v>57.839285714285715</v>
      </c>
      <c r="H7" s="8">
        <f>G7/(21150/D7)</f>
        <v>1.2139413204998311</v>
      </c>
      <c r="I7" s="4">
        <f>ROUND(Y7,3)</f>
        <v>0.191</v>
      </c>
      <c r="J7" s="4">
        <v>11481</v>
      </c>
      <c r="K7" s="4">
        <f t="shared" ref="K7" si="0">ROUND((0.85*E7*W7+D7*X7)/1000,0)</f>
        <v>8511</v>
      </c>
      <c r="L7" s="8">
        <v>3.0873726458783599</v>
      </c>
      <c r="M7" s="4">
        <f t="shared" ref="M7" si="1">ROUND((E7*W7+D7*X7)/1000,0)</f>
        <v>9574</v>
      </c>
      <c r="N7" s="4">
        <f t="shared" ref="N7" si="2">ROUND((0.85*E7*W7+6*C7*D7*W7/(B7-2*C7))/1000,0)</f>
        <v>9688</v>
      </c>
      <c r="O7" s="4">
        <f t="shared" ref="O7" si="3">ROUND(((AA7*D7*X7)+(E7*W7*(1+Z7*(C7/B7)*(D7/E7))))/1000,0)</f>
        <v>10362</v>
      </c>
      <c r="P7" s="4">
        <f t="shared" ref="P7" si="4">ROUND(AC7*O7,0)</f>
        <v>10362</v>
      </c>
      <c r="Q7" s="5">
        <f t="shared" ref="Q7:Q9" si="5">ROUND((J7/K7),2)</f>
        <v>1.35</v>
      </c>
      <c r="R7" s="4">
        <f>ROUND((J7/M7),2)</f>
        <v>1.2</v>
      </c>
      <c r="S7" s="4">
        <f>ROUND((J7/N7),2)</f>
        <v>1.19</v>
      </c>
      <c r="T7" s="8">
        <f>ROUND((J7/O7),3)</f>
        <v>1.1080000000000001</v>
      </c>
      <c r="U7" s="8">
        <f>ROUND((J7/P7),3)</f>
        <v>1.1080000000000001</v>
      </c>
      <c r="V7" s="4">
        <f>D7*X7/(1000*M7)</f>
        <v>0.25963675336664127</v>
      </c>
      <c r="W7" s="4">
        <f>0.785398*((B7-2*C7)^2)</f>
        <v>76797.229603419997</v>
      </c>
      <c r="X7" s="4">
        <f>0.785398*(B7*B7-(B7-2*C7)*(B7-2*C7))</f>
        <v>5599.8249081599988</v>
      </c>
      <c r="Y7" s="4">
        <f>SQRT((64*M7*F7*F7)/(PI()^3*((B7^4-(B7-2*C7)^4)*200+5.7*(E7+8)^0.33333*((B7-2*C7)^4-H7^4))))</f>
        <v>0.1909034603395616</v>
      </c>
      <c r="Z7" s="4">
        <f>IF((4.9-18.5*Y7+17*Y7*Y7)&lt;0,0,(4.9-18.5*Y7+17*Y7*Y7))</f>
        <v>1.9878362136016263</v>
      </c>
      <c r="AA7" s="4">
        <f>IF((0.25*(3+2*Y7))&gt;1,1,(0.25*(3+2*Y7)))</f>
        <v>0.84545173016978081</v>
      </c>
      <c r="AB7" s="4">
        <f>IF(Y7&lt;0.2,1,(1+0.158*SQRT(Y7*Y7-0.04)+Y7*Y7))</f>
        <v>1</v>
      </c>
      <c r="AC7" s="4">
        <f>IF(Y7&lt;0.2,1,(AB7-SQRT(AB7*AB7-4*Y7*Y7))/(2*Y7*Y7))</f>
        <v>1</v>
      </c>
    </row>
    <row r="8" spans="1:29" x14ac:dyDescent="0.25">
      <c r="A8" s="14" t="s">
        <v>81</v>
      </c>
      <c r="B8" s="6">
        <v>1995</v>
      </c>
      <c r="C8" s="6" t="s">
        <v>80</v>
      </c>
      <c r="D8" s="4"/>
      <c r="E8" s="4"/>
      <c r="F8" s="4"/>
      <c r="G8" s="8"/>
      <c r="H8" s="8"/>
      <c r="I8" s="4"/>
      <c r="J8" s="4"/>
      <c r="K8" s="4"/>
      <c r="L8" s="8"/>
      <c r="M8" s="4"/>
      <c r="N8" s="4"/>
      <c r="O8" s="4"/>
      <c r="P8" s="4"/>
      <c r="Q8" s="5"/>
      <c r="R8" s="4"/>
      <c r="S8" s="4"/>
      <c r="T8" s="8"/>
      <c r="U8" s="8"/>
      <c r="V8" s="4"/>
      <c r="W8" s="4"/>
      <c r="X8" s="4"/>
      <c r="Y8" s="4"/>
      <c r="Z8" s="4"/>
      <c r="AA8" s="4"/>
      <c r="AB8" s="4"/>
      <c r="AC8" s="4"/>
    </row>
    <row r="9" spans="1:29" x14ac:dyDescent="0.25">
      <c r="A9" s="4" t="s">
        <v>46</v>
      </c>
      <c r="B9" s="4">
        <v>165.2</v>
      </c>
      <c r="C9" s="4">
        <v>4.5</v>
      </c>
      <c r="D9" s="4">
        <v>422</v>
      </c>
      <c r="E9" s="4">
        <v>40.9</v>
      </c>
      <c r="F9" s="4">
        <v>601</v>
      </c>
      <c r="G9" s="8">
        <f t="shared" ref="G9:G10" si="6">B9/C9</f>
        <v>36.711111111111109</v>
      </c>
      <c r="H9" s="8">
        <f t="shared" ref="H9:H10" si="7">G9/(21150/D9)</f>
        <v>0.73248647228789066</v>
      </c>
      <c r="I9" s="4">
        <f t="shared" ref="I9:I10" si="8">ROUND(Y9,3)</f>
        <v>0.17499999999999999</v>
      </c>
      <c r="J9" s="4">
        <v>1562</v>
      </c>
      <c r="K9" s="4">
        <f t="shared" ref="K9:K10" si="9">ROUND((0.85*E9*W9+D9*X9)/1000,0)</f>
        <v>1625</v>
      </c>
      <c r="L9" s="8">
        <v>3.6380145278450366</v>
      </c>
      <c r="M9" s="4">
        <f t="shared" ref="M9" si="10">ROUND((E9*W9+D9*X9)/1000,0)</f>
        <v>1742</v>
      </c>
      <c r="N9" s="4">
        <f t="shared" ref="N9" si="11">ROUND((0.85*E9*W9+6*C9*D9*W9/(B9-2*C9))/1000,0)</f>
        <v>2064</v>
      </c>
      <c r="O9" s="4">
        <f t="shared" ref="O9" si="12">ROUND(((AA9*D9*X9)+(E9*W9*(1+Z9*(C9/B9)*(D9/E9))))/1000,0)</f>
        <v>2067</v>
      </c>
      <c r="P9" s="4">
        <f t="shared" ref="P9" si="13">ROUND(AC9*O9,0)</f>
        <v>2067</v>
      </c>
      <c r="Q9" s="4">
        <f t="shared" si="5"/>
        <v>0.96</v>
      </c>
      <c r="R9" s="4">
        <f t="shared" ref="R9" si="14">ROUND((J9/M9),2)</f>
        <v>0.9</v>
      </c>
      <c r="S9" s="4">
        <f t="shared" ref="S9" si="15">ROUND((J9/N9),2)</f>
        <v>0.76</v>
      </c>
      <c r="T9" s="8">
        <f t="shared" ref="T9" si="16">ROUND((J9/O9),3)</f>
        <v>0.75600000000000001</v>
      </c>
      <c r="U9" s="8">
        <f t="shared" ref="U9" si="17">ROUND((J9/P9),3)</f>
        <v>0.75600000000000001</v>
      </c>
      <c r="V9" s="4">
        <f t="shared" ref="V9" si="18">D9*X9/(1000*M9)</f>
        <v>0.55035443830401876</v>
      </c>
      <c r="W9" s="4">
        <f t="shared" ref="W9" si="19">0.785398*((B9-2*C9)^2)</f>
        <v>19162.485979119996</v>
      </c>
      <c r="X9" s="4">
        <f t="shared" ref="X9" si="20">0.785398*(B9*B9-(B9-2*C9)*(B9-2*C9))</f>
        <v>2271.8422548000017</v>
      </c>
      <c r="Y9" s="4">
        <f t="shared" ref="Y9" si="21">SQRT((64*M9*F9*F9)/(PI()^3*((B9^4-(B9-2*C9)^4)*200+5.7*(E9+8)^0.33333*((B9-2*C9)^4-H9^4))))</f>
        <v>0.17520070233532978</v>
      </c>
      <c r="Z9" s="4">
        <f t="shared" ref="Z9" si="22">IF((4.9-18.5*Y9+17*Y9*Y9)&lt;0,0,(4.9-18.5*Y9+17*Y9*Y9))</f>
        <v>2.1806068704758776</v>
      </c>
      <c r="AA9" s="4">
        <f t="shared" ref="AA9" si="23">IF((0.25*(3+2*Y9))&gt;1,1,(0.25*(3+2*Y9)))</f>
        <v>0.83760035116766485</v>
      </c>
      <c r="AB9" s="4">
        <f t="shared" ref="AB9" si="24">IF(Y9&lt;0.2,1,(1+0.158*SQRT(Y9*Y9-0.04)+Y9*Y9))</f>
        <v>1</v>
      </c>
      <c r="AC9" s="4">
        <f t="shared" ref="AC9" si="25">IF(Y9&lt;0.2,1,(AB9-SQRT(AB9*AB9-4*Y9*Y9))/(2*Y9*Y9))</f>
        <v>1</v>
      </c>
    </row>
    <row r="10" spans="1:29" s="1" customFormat="1" x14ac:dyDescent="0.25">
      <c r="A10" s="26" t="s">
        <v>265</v>
      </c>
      <c r="B10" s="26">
        <v>165.2</v>
      </c>
      <c r="C10" s="26">
        <v>4.5</v>
      </c>
      <c r="D10" s="26">
        <v>422</v>
      </c>
      <c r="E10" s="26">
        <v>41.7</v>
      </c>
      <c r="F10" s="26">
        <v>601</v>
      </c>
      <c r="G10" s="8">
        <f t="shared" si="6"/>
        <v>36.711111111111109</v>
      </c>
      <c r="H10" s="8">
        <f t="shared" si="7"/>
        <v>0.73248647228789066</v>
      </c>
      <c r="I10" s="27">
        <f t="shared" si="8"/>
        <v>0.17599999999999999</v>
      </c>
      <c r="J10" s="26">
        <v>1233</v>
      </c>
      <c r="K10" s="27">
        <f t="shared" si="9"/>
        <v>1638</v>
      </c>
      <c r="L10" s="8">
        <v>3.6380145278450366</v>
      </c>
      <c r="M10" s="27">
        <f t="shared" ref="M10" si="26">ROUND((E10*W10+D10*X10)/1000,0)</f>
        <v>1758</v>
      </c>
      <c r="N10" s="27">
        <f t="shared" ref="N10" si="27">ROUND((0.85*E10*W10+6*C10*D10*W10/(B10-2*C10))/1000,0)</f>
        <v>2077</v>
      </c>
      <c r="O10" s="27">
        <f t="shared" ref="O10" si="28">ROUND(((AA10*D10*X10)+(E10*W10*(1+Z10*(C10/B10)*(D10/E10))))/1000,0)</f>
        <v>2081</v>
      </c>
      <c r="P10" s="27">
        <f t="shared" ref="P10" si="29">ROUND(AC10*O10,0)</f>
        <v>2081</v>
      </c>
      <c r="Q10" s="27">
        <f t="shared" ref="Q10" si="30">ROUND((J10/K10),2)</f>
        <v>0.75</v>
      </c>
      <c r="R10" s="27">
        <f t="shared" ref="R10" si="31">ROUND((J10/M10),2)</f>
        <v>0.7</v>
      </c>
      <c r="S10" s="27">
        <f t="shared" ref="S10" si="32">ROUND((J10/N10),2)</f>
        <v>0.59</v>
      </c>
      <c r="T10" s="8">
        <f t="shared" ref="T10" si="33">ROUND((J10/O10),3)</f>
        <v>0.59299999999999997</v>
      </c>
      <c r="U10" s="8">
        <f t="shared" ref="U10" si="34">ROUND((J10/P10),3)</f>
        <v>0.59299999999999997</v>
      </c>
      <c r="V10" s="27">
        <f t="shared" ref="V10" si="35">D10*X10/(1000*M10)</f>
        <v>0.54534552418976145</v>
      </c>
      <c r="W10" s="27">
        <f t="shared" ref="W10" si="36">0.785398*((B10-2*C10)^2)</f>
        <v>19162.485979119996</v>
      </c>
      <c r="X10" s="27">
        <f t="shared" ref="X10" si="37">0.785398*(B10*B10-(B10-2*C10)*(B10-2*C10))</f>
        <v>2271.8422548000017</v>
      </c>
      <c r="Y10" s="27">
        <f t="shared" ref="Y10" si="38">SQRT((64*M10*F10*F10)/(PI()^3*((B10^4-(B10-2*C10)^4)*200+5.7*(E10+8)^0.33333*((B10-2*C10)^4-H10^4))))</f>
        <v>0.17586365600710402</v>
      </c>
      <c r="Z10" s="27">
        <f t="shared" ref="Z10" si="39">IF((4.9-18.5*Y10+17*Y10*Y10)&lt;0,0,(4.9-18.5*Y10+17*Y10*Y10))</f>
        <v>2.1722987974397214</v>
      </c>
      <c r="AA10" s="27">
        <f t="shared" ref="AA10" si="40">IF((0.25*(3+2*Y10))&gt;1,1,(0.25*(3+2*Y10)))</f>
        <v>0.83793182800355204</v>
      </c>
      <c r="AB10" s="27">
        <f t="shared" ref="AB10" si="41">IF(Y10&lt;0.2,1,(1+0.158*SQRT(Y10*Y10-0.04)+Y10*Y10))</f>
        <v>1</v>
      </c>
      <c r="AC10" s="27">
        <f t="shared" ref="AC10" si="42">IF(Y10&lt;0.2,1,(AB10-SQRT(AB10*AB10-4*Y10*Y10))/(2*Y10*Y10))</f>
        <v>1</v>
      </c>
    </row>
    <row r="11" spans="1:29" x14ac:dyDescent="0.25">
      <c r="A11" s="10" t="s">
        <v>50</v>
      </c>
      <c r="B11" s="6">
        <v>2004</v>
      </c>
      <c r="C11" s="6" t="s">
        <v>76</v>
      </c>
      <c r="D11" s="4"/>
      <c r="E11" s="4"/>
      <c r="F11" s="4"/>
      <c r="G11" s="8"/>
      <c r="H11" s="8"/>
      <c r="I11" s="4"/>
      <c r="J11" s="4"/>
      <c r="K11" s="4"/>
      <c r="L11" s="8"/>
      <c r="M11" s="4"/>
      <c r="N11" s="4"/>
      <c r="O11" s="4"/>
      <c r="P11" s="6" t="s">
        <v>266</v>
      </c>
      <c r="Q11" s="15"/>
      <c r="R11" s="15"/>
      <c r="S11" s="15">
        <f>AVERAGE(S9:S10)</f>
        <v>0.67500000000000004</v>
      </c>
      <c r="T11" s="15">
        <f>AVERAGE(T9:T10)</f>
        <v>0.67449999999999999</v>
      </c>
      <c r="U11" s="15">
        <f>AVERAGE(U9:U10)</f>
        <v>0.67449999999999999</v>
      </c>
      <c r="V11" s="4"/>
      <c r="W11" s="4"/>
      <c r="X11" s="4"/>
      <c r="Y11" s="4"/>
      <c r="Z11" s="4"/>
      <c r="AA11" s="4"/>
      <c r="AB11" s="4"/>
      <c r="AC11" s="4"/>
    </row>
    <row r="12" spans="1:29" x14ac:dyDescent="0.25">
      <c r="A12" s="4" t="s">
        <v>47</v>
      </c>
      <c r="B12" s="4">
        <v>114.09</v>
      </c>
      <c r="C12" s="4">
        <v>3.85</v>
      </c>
      <c r="D12" s="4">
        <v>343</v>
      </c>
      <c r="E12" s="4">
        <v>25.52</v>
      </c>
      <c r="F12" s="4">
        <v>300.5</v>
      </c>
      <c r="G12" s="8">
        <f t="shared" ref="G12:G14" si="43">B12/C12</f>
        <v>29.633766233766234</v>
      </c>
      <c r="H12" s="8">
        <f t="shared" ref="H12:H14" si="44">G12/(21150/D12)</f>
        <v>0.48058542875564153</v>
      </c>
      <c r="I12" s="4">
        <f t="shared" ref="I12:I14" si="45">ROUND(Y12,3)</f>
        <v>0.11</v>
      </c>
      <c r="J12" s="4">
        <v>948</v>
      </c>
      <c r="K12" s="4">
        <f t="shared" ref="K12:K14" si="46">ROUND((0.85*E12*W12+D12*X12)/1000,0)</f>
        <v>650</v>
      </c>
      <c r="L12" s="8">
        <v>2.6338855289683583</v>
      </c>
      <c r="M12" s="4">
        <f t="shared" ref="M12:M14" si="47">ROUND((E12*W12+D12*X12)/1000,0)</f>
        <v>684</v>
      </c>
      <c r="N12" s="4">
        <f t="shared" ref="N12:N14" si="48">ROUND((0.85*E12*W12+6*C12*D12*W12/(B12-2*C12))/1000,0)</f>
        <v>855</v>
      </c>
      <c r="O12" s="4">
        <f t="shared" ref="O12:O14" si="49">ROUND(((AA12*D12*X12)+(E12*W12*(1+Z12*(C12/B12)*(D12/E12))))/1000,0)</f>
        <v>912</v>
      </c>
      <c r="P12" s="4">
        <f t="shared" ref="P12:P14" si="50">ROUND(AC12*O12,0)</f>
        <v>912</v>
      </c>
      <c r="Q12" s="4">
        <f t="shared" ref="Q12:Q14" si="51">ROUND((J12/K12),2)</f>
        <v>1.46</v>
      </c>
      <c r="R12" s="4">
        <f t="shared" ref="R12:R14" si="52">ROUND((J12/M12),2)</f>
        <v>1.39</v>
      </c>
      <c r="S12" s="4">
        <f t="shared" ref="S12:S14" si="53">ROUND((J12/N12),2)</f>
        <v>1.1100000000000001</v>
      </c>
      <c r="T12" s="8">
        <f t="shared" ref="T12:T14" si="54">ROUND((J12/O12),3)</f>
        <v>1.0389999999999999</v>
      </c>
      <c r="U12" s="8">
        <f t="shared" ref="U12:U14" si="55">ROUND((J12/P12),3)</f>
        <v>1.0389999999999999</v>
      </c>
      <c r="V12" s="4">
        <f t="shared" ref="V12:V14" si="56">D12*X12/(1000*M12)</f>
        <v>0.66863288852594227</v>
      </c>
      <c r="W12" s="4">
        <f t="shared" ref="W12:W14" si="57">0.785398*((B12-2*C12)^2)</f>
        <v>8889.7880936758011</v>
      </c>
      <c r="X12" s="4">
        <f t="shared" ref="X12:X14" si="58">0.785398*(B12*B12-(B12-2*C12)*(B12-2*C12))</f>
        <v>1333.3670430080015</v>
      </c>
      <c r="Y12" s="4">
        <f t="shared" ref="Y12:Y14" si="59">SQRT((64*M12*F12*F12)/(PI()^3*((B12^4-(B12-2*C12)^4)*200+5.7*(E12+8)^0.33333*((B12-2*C12)^4-H12^4))))</f>
        <v>0.10957954332383252</v>
      </c>
      <c r="Z12" s="4">
        <f t="shared" ref="Z12:Z14" si="60">IF((4.9-18.5*Y12+17*Y12*Y12)&lt;0,0,(4.9-18.5*Y12+17*Y12*Y12))</f>
        <v>3.0769089458651133</v>
      </c>
      <c r="AA12" s="4">
        <f t="shared" ref="AA12:AA14" si="61">IF((0.25*(3+2*Y12))&gt;1,1,(0.25*(3+2*Y12)))</f>
        <v>0.80478977166191623</v>
      </c>
      <c r="AB12" s="4">
        <f t="shared" ref="AB12:AB14" si="62">IF(Y12&lt;0.2,1,(1+0.158*SQRT(Y12*Y12-0.04)+Y12*Y12))</f>
        <v>1</v>
      </c>
      <c r="AC12" s="4">
        <f t="shared" ref="AC12:AC14" si="63">IF(Y12&lt;0.2,1,(AB12-SQRT(AB12*AB12-4*Y12*Y12))/(2*Y12*Y12))</f>
        <v>1</v>
      </c>
    </row>
    <row r="13" spans="1:29" x14ac:dyDescent="0.25">
      <c r="A13" s="4" t="s">
        <v>48</v>
      </c>
      <c r="B13" s="4">
        <v>114.54</v>
      </c>
      <c r="C13" s="4">
        <v>3.84</v>
      </c>
      <c r="D13" s="4">
        <v>343</v>
      </c>
      <c r="E13" s="4">
        <v>79.12</v>
      </c>
      <c r="F13" s="4">
        <v>300</v>
      </c>
      <c r="G13" s="8">
        <f t="shared" si="43"/>
        <v>29.828125000000004</v>
      </c>
      <c r="H13" s="8">
        <f t="shared" si="44"/>
        <v>0.48373744089834519</v>
      </c>
      <c r="I13" s="4">
        <f t="shared" si="45"/>
        <v>0.13700000000000001</v>
      </c>
      <c r="J13" s="4">
        <v>1359</v>
      </c>
      <c r="K13" s="4">
        <f t="shared" si="46"/>
        <v>1061</v>
      </c>
      <c r="L13" s="8">
        <v>2.6191723415400734</v>
      </c>
      <c r="M13" s="4">
        <f t="shared" si="47"/>
        <v>1168</v>
      </c>
      <c r="N13" s="4">
        <f t="shared" si="48"/>
        <v>1266</v>
      </c>
      <c r="O13" s="4">
        <f t="shared" si="49"/>
        <v>1362</v>
      </c>
      <c r="P13" s="4">
        <f t="shared" si="50"/>
        <v>1362</v>
      </c>
      <c r="Q13" s="4">
        <f t="shared" si="51"/>
        <v>1.28</v>
      </c>
      <c r="R13" s="4">
        <f t="shared" si="52"/>
        <v>1.1599999999999999</v>
      </c>
      <c r="S13" s="4">
        <f t="shared" si="53"/>
        <v>1.07</v>
      </c>
      <c r="T13" s="8">
        <f t="shared" si="54"/>
        <v>0.998</v>
      </c>
      <c r="U13" s="8">
        <f t="shared" si="55"/>
        <v>0.998</v>
      </c>
      <c r="V13" s="4">
        <f t="shared" si="56"/>
        <v>0.39217499966860253</v>
      </c>
      <c r="W13" s="4">
        <f t="shared" si="57"/>
        <v>8968.5065717208017</v>
      </c>
      <c r="X13" s="4">
        <f t="shared" si="58"/>
        <v>1335.4530600959993</v>
      </c>
      <c r="Y13" s="4">
        <f t="shared" si="59"/>
        <v>0.13653306438873289</v>
      </c>
      <c r="Z13" s="4">
        <f t="shared" si="60"/>
        <v>2.6910400292218659</v>
      </c>
      <c r="AA13" s="4">
        <f t="shared" si="61"/>
        <v>0.8182665321943664</v>
      </c>
      <c r="AB13" s="4">
        <f t="shared" si="62"/>
        <v>1</v>
      </c>
      <c r="AC13" s="4">
        <f t="shared" si="63"/>
        <v>1</v>
      </c>
    </row>
    <row r="14" spans="1:29" x14ac:dyDescent="0.25">
      <c r="A14" s="4" t="s">
        <v>49</v>
      </c>
      <c r="B14" s="4">
        <v>114.37</v>
      </c>
      <c r="C14" s="4">
        <v>3.85</v>
      </c>
      <c r="D14" s="4">
        <v>343</v>
      </c>
      <c r="E14" s="4">
        <v>79.12</v>
      </c>
      <c r="F14" s="4">
        <v>299.5</v>
      </c>
      <c r="G14" s="8">
        <f t="shared" si="43"/>
        <v>29.706493506493509</v>
      </c>
      <c r="H14" s="8">
        <f t="shared" si="44"/>
        <v>0.48176488287126584</v>
      </c>
      <c r="I14" s="4">
        <f t="shared" si="45"/>
        <v>0.13600000000000001</v>
      </c>
      <c r="J14" s="4">
        <v>1182</v>
      </c>
      <c r="K14" s="4">
        <f t="shared" si="46"/>
        <v>1060</v>
      </c>
      <c r="L14" s="8">
        <v>2.6186937133863775</v>
      </c>
      <c r="M14" s="4">
        <f t="shared" si="47"/>
        <v>1166</v>
      </c>
      <c r="N14" s="4">
        <f t="shared" si="48"/>
        <v>1265</v>
      </c>
      <c r="O14" s="4">
        <f t="shared" si="49"/>
        <v>1360</v>
      </c>
      <c r="P14" s="4">
        <f t="shared" si="50"/>
        <v>1360</v>
      </c>
      <c r="Q14" s="4">
        <f t="shared" si="51"/>
        <v>1.1200000000000001</v>
      </c>
      <c r="R14" s="4">
        <f t="shared" si="52"/>
        <v>1.01</v>
      </c>
      <c r="S14" s="4">
        <f t="shared" si="53"/>
        <v>0.93</v>
      </c>
      <c r="T14" s="8">
        <f t="shared" si="54"/>
        <v>0.86899999999999999</v>
      </c>
      <c r="U14" s="8">
        <f t="shared" si="55"/>
        <v>0.86899999999999999</v>
      </c>
      <c r="V14" s="4">
        <f t="shared" si="56"/>
        <v>0.39323028469992494</v>
      </c>
      <c r="W14" s="4">
        <f t="shared" si="57"/>
        <v>8936.6424250822001</v>
      </c>
      <c r="X14" s="4">
        <f t="shared" si="58"/>
        <v>1336.7536791840014</v>
      </c>
      <c r="Y14" s="4">
        <f t="shared" si="59"/>
        <v>0.1364369037212487</v>
      </c>
      <c r="Z14" s="4">
        <f t="shared" si="60"/>
        <v>2.6923727690066013</v>
      </c>
      <c r="AA14" s="4">
        <f t="shared" si="61"/>
        <v>0.81821845186062436</v>
      </c>
      <c r="AB14" s="4">
        <f t="shared" si="62"/>
        <v>1</v>
      </c>
      <c r="AC14" s="4">
        <f t="shared" si="63"/>
        <v>1</v>
      </c>
    </row>
    <row r="15" spans="1:29" x14ac:dyDescent="0.25">
      <c r="A15" s="12" t="s">
        <v>82</v>
      </c>
      <c r="B15" s="6">
        <v>2008</v>
      </c>
      <c r="C15" s="6" t="s">
        <v>77</v>
      </c>
      <c r="D15" s="4"/>
      <c r="E15" s="4"/>
      <c r="F15" s="4"/>
      <c r="G15" s="8"/>
      <c r="H15" s="8"/>
      <c r="I15" s="4"/>
      <c r="J15" s="4"/>
      <c r="K15" s="4"/>
      <c r="L15" s="8"/>
      <c r="M15" s="4"/>
      <c r="N15" s="4"/>
      <c r="O15" s="4"/>
      <c r="P15" s="6" t="s">
        <v>84</v>
      </c>
      <c r="Q15" s="15">
        <f>AVERAGE(Q12:Q14)</f>
        <v>1.2866666666666668</v>
      </c>
      <c r="R15" s="15">
        <f t="shared" ref="R15:U15" si="64">AVERAGE(R12:R14)</f>
        <v>1.1866666666666665</v>
      </c>
      <c r="S15" s="15">
        <f t="shared" si="64"/>
        <v>1.0366666666666668</v>
      </c>
      <c r="T15" s="15">
        <f t="shared" si="64"/>
        <v>0.96866666666666656</v>
      </c>
      <c r="U15" s="15">
        <f t="shared" si="64"/>
        <v>0.96866666666666656</v>
      </c>
      <c r="V15" s="4"/>
      <c r="W15" s="4"/>
      <c r="X15" s="4"/>
      <c r="Y15" s="4"/>
      <c r="Z15" s="4"/>
      <c r="AA15" s="4"/>
      <c r="AB15" s="4"/>
      <c r="AC15" s="4"/>
    </row>
    <row r="16" spans="1:29" x14ac:dyDescent="0.25">
      <c r="A16" s="1" t="s">
        <v>52</v>
      </c>
      <c r="B16" s="1">
        <v>219</v>
      </c>
      <c r="C16" s="1">
        <v>4.78</v>
      </c>
      <c r="D16" s="1">
        <v>350</v>
      </c>
      <c r="E16" s="4">
        <v>40.400000000000006</v>
      </c>
      <c r="F16" s="1">
        <v>650</v>
      </c>
      <c r="G16" s="8">
        <f t="shared" ref="G16:G32" si="65">B16/C16</f>
        <v>45.815899581589953</v>
      </c>
      <c r="H16" s="8">
        <f t="shared" ref="H16:H32" si="66">G16/(21150/D16)</f>
        <v>0.7581827353927415</v>
      </c>
      <c r="I16" s="4">
        <f t="shared" ref="I16:I32" si="67">ROUND(Y16,3)</f>
        <v>0.13800000000000001</v>
      </c>
      <c r="J16" s="1">
        <v>3400</v>
      </c>
      <c r="K16" s="4">
        <f t="shared" ref="K16:K25" si="68">ROUND((0.85*E16*W16+D16*X16)/1000,0)</f>
        <v>2309</v>
      </c>
      <c r="L16" s="8">
        <v>2.9680365296803655</v>
      </c>
      <c r="M16" s="4">
        <f t="shared" ref="M16:M25" si="69">ROUND((E16*W16+D16*X16)/1000,0)</f>
        <v>2518</v>
      </c>
      <c r="N16" s="4">
        <f t="shared" ref="N16:N25" si="70">ROUND((0.85*E16*W16+6*C16*D16*W16/(B16-2*C16))/1000,0)</f>
        <v>2834</v>
      </c>
      <c r="O16" s="4">
        <f t="shared" ref="O16:O25" si="71">ROUND(((AA16*D16*X16)+(E16*W16*(1+Z16*(C16/B16)*(D16/E16))))/1000,0)</f>
        <v>3017</v>
      </c>
      <c r="P16" s="4">
        <f t="shared" ref="P16:P25" si="72">ROUND(AC16*O16,0)</f>
        <v>3017</v>
      </c>
      <c r="Q16" s="4">
        <f t="shared" ref="Q16:Q25" si="73">ROUND((J16/K16),2)</f>
        <v>1.47</v>
      </c>
      <c r="R16" s="4">
        <f t="shared" ref="R16:R25" si="74">ROUND((J16/M16),2)</f>
        <v>1.35</v>
      </c>
      <c r="S16" s="4">
        <f t="shared" ref="S16:S25" si="75">ROUND((J16/N16),2)</f>
        <v>1.2</v>
      </c>
      <c r="T16" s="8">
        <f t="shared" ref="T16:T25" si="76">ROUND((J16/O16),3)</f>
        <v>1.127</v>
      </c>
      <c r="U16" s="8">
        <f t="shared" ref="U16:U25" si="77">ROUND((J16/P16),3)</f>
        <v>1.127</v>
      </c>
      <c r="V16" s="4">
        <f t="shared" ref="V16:V25" si="78">D16*X16/(1000*M16)</f>
        <v>0.44714668203952379</v>
      </c>
      <c r="W16" s="4">
        <f t="shared" ref="W16:W25" si="79">0.785398*((B16-2*C16)^2)</f>
        <v>34451.572491212799</v>
      </c>
      <c r="X16" s="4">
        <f t="shared" ref="X16:X25" si="80">0.785398*(B16*B16-(B16-2*C16)*(B16-2*C16))</f>
        <v>3216.9009867872028</v>
      </c>
      <c r="Y16" s="4">
        <f t="shared" ref="Y16:Y25" si="81">SQRT((64*M16*F16*F16)/(PI()^3*((B16^4-(B16-2*C16)^4)*200+5.7*(E16+8)^0.33333*((B16-2*C16)^4-H16^4))))</f>
        <v>0.13806940277160948</v>
      </c>
      <c r="Z16" s="4">
        <f t="shared" ref="Z16:Z25" si="82">IF((4.9-18.5*Y16+17*Y16*Y16)&lt;0,0,(4.9-18.5*Y16+17*Y16*Y16))</f>
        <v>2.6697897684142768</v>
      </c>
      <c r="AA16" s="4">
        <f t="shared" ref="AA16:AA25" si="83">IF((0.25*(3+2*Y16))&gt;1,1,(0.25*(3+2*Y16)))</f>
        <v>0.8190347013858047</v>
      </c>
      <c r="AB16" s="4">
        <f t="shared" ref="AB16:AB25" si="84">IF(Y16&lt;0.2,1,(1+0.158*SQRT(Y16*Y16-0.04)+Y16*Y16))</f>
        <v>1</v>
      </c>
      <c r="AC16" s="4">
        <f t="shared" ref="AC16:AC25" si="85">IF(Y16&lt;0.2,1,(AB16-SQRT(AB16*AB16-4*Y16*Y16))/(2*Y16*Y16))</f>
        <v>1</v>
      </c>
    </row>
    <row r="17" spans="1:29" x14ac:dyDescent="0.25">
      <c r="A17" s="1" t="s">
        <v>53</v>
      </c>
      <c r="B17" s="1">
        <v>219</v>
      </c>
      <c r="C17" s="1">
        <v>4.72</v>
      </c>
      <c r="D17" s="1">
        <v>350</v>
      </c>
      <c r="E17" s="4">
        <v>40.400000000000006</v>
      </c>
      <c r="F17" s="1">
        <v>650</v>
      </c>
      <c r="G17" s="8">
        <f t="shared" si="65"/>
        <v>46.398305084745765</v>
      </c>
      <c r="H17" s="8">
        <f t="shared" si="66"/>
        <v>0.76782065152061552</v>
      </c>
      <c r="I17" s="4">
        <f t="shared" si="67"/>
        <v>0.13800000000000001</v>
      </c>
      <c r="J17" s="1">
        <v>3350</v>
      </c>
      <c r="K17" s="4">
        <f t="shared" si="68"/>
        <v>2297</v>
      </c>
      <c r="L17" s="8">
        <v>2.9680365296803655</v>
      </c>
      <c r="M17" s="4">
        <f t="shared" si="69"/>
        <v>2506</v>
      </c>
      <c r="N17" s="4">
        <f t="shared" si="70"/>
        <v>2816</v>
      </c>
      <c r="O17" s="4">
        <f t="shared" si="71"/>
        <v>2998</v>
      </c>
      <c r="P17" s="4">
        <f t="shared" si="72"/>
        <v>2998</v>
      </c>
      <c r="Q17" s="4">
        <f t="shared" si="73"/>
        <v>1.46</v>
      </c>
      <c r="R17" s="4">
        <f t="shared" si="74"/>
        <v>1.34</v>
      </c>
      <c r="S17" s="4">
        <f t="shared" si="75"/>
        <v>1.19</v>
      </c>
      <c r="T17" s="8">
        <f t="shared" si="76"/>
        <v>1.117</v>
      </c>
      <c r="U17" s="8">
        <f t="shared" si="77"/>
        <v>1.117</v>
      </c>
      <c r="V17" s="4">
        <f t="shared" si="78"/>
        <v>0.4437725105233517</v>
      </c>
      <c r="W17" s="4">
        <f t="shared" si="79"/>
        <v>34491.062302652805</v>
      </c>
      <c r="X17" s="4">
        <f t="shared" si="80"/>
        <v>3177.411175347198</v>
      </c>
      <c r="Y17" s="4">
        <f t="shared" si="81"/>
        <v>0.13821540706400526</v>
      </c>
      <c r="Z17" s="4">
        <f t="shared" si="82"/>
        <v>2.6677744480636707</v>
      </c>
      <c r="AA17" s="4">
        <f t="shared" si="83"/>
        <v>0.81910770353200268</v>
      </c>
      <c r="AB17" s="4">
        <f t="shared" si="84"/>
        <v>1</v>
      </c>
      <c r="AC17" s="4">
        <f t="shared" si="85"/>
        <v>1</v>
      </c>
    </row>
    <row r="18" spans="1:29" x14ac:dyDescent="0.25">
      <c r="A18" s="1" t="s">
        <v>54</v>
      </c>
      <c r="B18" s="1">
        <v>219</v>
      </c>
      <c r="C18" s="1">
        <v>4.75</v>
      </c>
      <c r="D18" s="1">
        <v>350</v>
      </c>
      <c r="E18" s="4">
        <v>34.080000000000005</v>
      </c>
      <c r="F18" s="1">
        <v>650</v>
      </c>
      <c r="G18" s="8">
        <f t="shared" si="65"/>
        <v>46.10526315789474</v>
      </c>
      <c r="H18" s="8">
        <f t="shared" si="66"/>
        <v>0.76297125793206422</v>
      </c>
      <c r="I18" s="4">
        <f t="shared" si="67"/>
        <v>0.13300000000000001</v>
      </c>
      <c r="J18" s="1">
        <v>3150</v>
      </c>
      <c r="K18" s="4">
        <f t="shared" si="68"/>
        <v>2118</v>
      </c>
      <c r="L18" s="8">
        <v>2.9680365296803655</v>
      </c>
      <c r="M18" s="4">
        <f t="shared" si="69"/>
        <v>2294</v>
      </c>
      <c r="N18" s="4">
        <f t="shared" si="70"/>
        <v>2640</v>
      </c>
      <c r="O18" s="4">
        <f t="shared" si="71"/>
        <v>2805</v>
      </c>
      <c r="P18" s="4">
        <f t="shared" si="72"/>
        <v>2805</v>
      </c>
      <c r="Q18" s="4">
        <f t="shared" si="73"/>
        <v>1.49</v>
      </c>
      <c r="R18" s="4">
        <f t="shared" si="74"/>
        <v>1.37</v>
      </c>
      <c r="S18" s="4">
        <f t="shared" si="75"/>
        <v>1.19</v>
      </c>
      <c r="T18" s="8">
        <f t="shared" si="76"/>
        <v>1.123</v>
      </c>
      <c r="U18" s="8">
        <f t="shared" si="77"/>
        <v>1.123</v>
      </c>
      <c r="V18" s="4">
        <f t="shared" si="78"/>
        <v>0.48779669484524851</v>
      </c>
      <c r="W18" s="4">
        <f t="shared" si="79"/>
        <v>34471.314569499998</v>
      </c>
      <c r="X18" s="4">
        <f t="shared" si="80"/>
        <v>3197.1589085000001</v>
      </c>
      <c r="Y18" s="4">
        <f t="shared" si="81"/>
        <v>0.13307298381722277</v>
      </c>
      <c r="Z18" s="4">
        <f t="shared" si="82"/>
        <v>2.739192922755699</v>
      </c>
      <c r="AA18" s="4">
        <f t="shared" si="83"/>
        <v>0.81653649190861133</v>
      </c>
      <c r="AB18" s="4">
        <f t="shared" si="84"/>
        <v>1</v>
      </c>
      <c r="AC18" s="4">
        <f t="shared" si="85"/>
        <v>1</v>
      </c>
    </row>
    <row r="19" spans="1:29" x14ac:dyDescent="0.25">
      <c r="A19" s="1" t="s">
        <v>55</v>
      </c>
      <c r="B19" s="1">
        <v>165</v>
      </c>
      <c r="C19" s="1">
        <v>2.73</v>
      </c>
      <c r="D19" s="1">
        <v>350</v>
      </c>
      <c r="E19" s="4">
        <v>61.760000000000005</v>
      </c>
      <c r="F19" s="1">
        <v>510</v>
      </c>
      <c r="G19" s="8">
        <f t="shared" si="65"/>
        <v>60.439560439560438</v>
      </c>
      <c r="H19" s="8">
        <f t="shared" si="66"/>
        <v>1.000181851245681</v>
      </c>
      <c r="I19" s="4">
        <f t="shared" si="67"/>
        <v>0.16500000000000001</v>
      </c>
      <c r="J19" s="1">
        <v>2080</v>
      </c>
      <c r="K19" s="4">
        <f t="shared" si="68"/>
        <v>1537</v>
      </c>
      <c r="L19" s="8">
        <v>3.0909090909090908</v>
      </c>
      <c r="M19" s="4">
        <f t="shared" si="69"/>
        <v>1722</v>
      </c>
      <c r="N19" s="4">
        <f t="shared" si="70"/>
        <v>1768</v>
      </c>
      <c r="O19" s="4">
        <f t="shared" si="71"/>
        <v>1907</v>
      </c>
      <c r="P19" s="4">
        <f t="shared" si="72"/>
        <v>1907</v>
      </c>
      <c r="Q19" s="4">
        <f t="shared" si="73"/>
        <v>1.35</v>
      </c>
      <c r="R19" s="4">
        <f t="shared" si="74"/>
        <v>1.21</v>
      </c>
      <c r="S19" s="4">
        <f t="shared" si="75"/>
        <v>1.18</v>
      </c>
      <c r="T19" s="8">
        <f t="shared" si="76"/>
        <v>1.091</v>
      </c>
      <c r="U19" s="8">
        <f t="shared" si="77"/>
        <v>1.091</v>
      </c>
      <c r="V19" s="4">
        <f t="shared" si="78"/>
        <v>0.28286913524048812</v>
      </c>
      <c r="W19" s="4">
        <f t="shared" si="79"/>
        <v>19990.744404616798</v>
      </c>
      <c r="X19" s="4">
        <f t="shared" si="80"/>
        <v>1391.7161453832016</v>
      </c>
      <c r="Y19" s="4">
        <f t="shared" si="81"/>
        <v>0.16521224055898931</v>
      </c>
      <c r="Z19" s="4">
        <f t="shared" si="82"/>
        <v>2.307589984977561</v>
      </c>
      <c r="AA19" s="4">
        <f t="shared" si="83"/>
        <v>0.83260612027949465</v>
      </c>
      <c r="AB19" s="4">
        <f t="shared" si="84"/>
        <v>1</v>
      </c>
      <c r="AC19" s="4">
        <f t="shared" si="85"/>
        <v>1</v>
      </c>
    </row>
    <row r="20" spans="1:29" x14ac:dyDescent="0.25">
      <c r="A20" s="1" t="s">
        <v>56</v>
      </c>
      <c r="B20" s="1">
        <v>165</v>
      </c>
      <c r="C20" s="1">
        <v>2.72</v>
      </c>
      <c r="D20" s="1">
        <v>350</v>
      </c>
      <c r="E20">
        <v>45.6</v>
      </c>
      <c r="F20" s="1">
        <v>510</v>
      </c>
      <c r="G20" s="8">
        <f t="shared" si="65"/>
        <v>60.661764705882348</v>
      </c>
      <c r="H20" s="8">
        <f t="shared" si="66"/>
        <v>1.0038589904046724</v>
      </c>
      <c r="I20" s="4">
        <f t="shared" si="67"/>
        <v>0.152</v>
      </c>
      <c r="J20" s="1">
        <v>1750</v>
      </c>
      <c r="K20" s="4">
        <f t="shared" si="68"/>
        <v>1260</v>
      </c>
      <c r="L20" s="8">
        <v>3.0909090909090908</v>
      </c>
      <c r="M20" s="4">
        <f t="shared" si="69"/>
        <v>1397</v>
      </c>
      <c r="N20" s="4">
        <f t="shared" si="70"/>
        <v>1491</v>
      </c>
      <c r="O20" s="4">
        <f t="shared" si="71"/>
        <v>1599</v>
      </c>
      <c r="P20" s="4">
        <f t="shared" si="72"/>
        <v>1599</v>
      </c>
      <c r="Q20" s="4">
        <f t="shared" si="73"/>
        <v>1.39</v>
      </c>
      <c r="R20" s="4">
        <f t="shared" si="74"/>
        <v>1.25</v>
      </c>
      <c r="S20" s="4">
        <f t="shared" si="75"/>
        <v>1.17</v>
      </c>
      <c r="T20" s="8">
        <f t="shared" si="76"/>
        <v>1.0940000000000001</v>
      </c>
      <c r="U20" s="8">
        <f t="shared" si="77"/>
        <v>1.0940000000000001</v>
      </c>
      <c r="V20" s="4">
        <f t="shared" si="78"/>
        <v>0.34742040613566227</v>
      </c>
      <c r="W20" s="4">
        <f t="shared" si="79"/>
        <v>19995.756814652799</v>
      </c>
      <c r="X20" s="4">
        <f t="shared" si="80"/>
        <v>1386.7037353472006</v>
      </c>
      <c r="Y20" s="4">
        <f t="shared" si="81"/>
        <v>0.15183239872787704</v>
      </c>
      <c r="Z20" s="4">
        <f t="shared" si="82"/>
        <v>2.4830029376931124</v>
      </c>
      <c r="AA20" s="4">
        <f t="shared" si="83"/>
        <v>0.82591619936393856</v>
      </c>
      <c r="AB20" s="4">
        <f t="shared" si="84"/>
        <v>1</v>
      </c>
      <c r="AC20" s="4">
        <f t="shared" si="85"/>
        <v>1</v>
      </c>
    </row>
    <row r="21" spans="1:29" x14ac:dyDescent="0.25">
      <c r="A21" s="1" t="s">
        <v>57</v>
      </c>
      <c r="B21" s="1">
        <v>165</v>
      </c>
      <c r="C21" s="1">
        <v>2.75</v>
      </c>
      <c r="D21" s="1">
        <v>350</v>
      </c>
      <c r="E21">
        <v>37.04</v>
      </c>
      <c r="F21" s="1">
        <v>510</v>
      </c>
      <c r="G21" s="8">
        <f t="shared" si="65"/>
        <v>60</v>
      </c>
      <c r="H21" s="8">
        <f t="shared" si="66"/>
        <v>0.99290780141843971</v>
      </c>
      <c r="I21" s="4">
        <f t="shared" si="67"/>
        <v>0.14399999999999999</v>
      </c>
      <c r="J21" s="1">
        <v>1560</v>
      </c>
      <c r="K21" s="4">
        <f t="shared" si="68"/>
        <v>1120</v>
      </c>
      <c r="L21" s="8">
        <v>3.0909090909090908</v>
      </c>
      <c r="M21" s="4">
        <f t="shared" si="69"/>
        <v>1231</v>
      </c>
      <c r="N21" s="4">
        <f t="shared" si="70"/>
        <v>1353</v>
      </c>
      <c r="O21" s="4">
        <f t="shared" si="71"/>
        <v>1445</v>
      </c>
      <c r="P21" s="4">
        <f t="shared" si="72"/>
        <v>1445</v>
      </c>
      <c r="Q21" s="4">
        <f t="shared" si="73"/>
        <v>1.39</v>
      </c>
      <c r="R21" s="4">
        <f t="shared" si="74"/>
        <v>1.27</v>
      </c>
      <c r="S21" s="4">
        <f t="shared" si="75"/>
        <v>1.1499999999999999</v>
      </c>
      <c r="T21" s="8">
        <f t="shared" si="76"/>
        <v>1.08</v>
      </c>
      <c r="U21" s="8">
        <f t="shared" si="77"/>
        <v>1.08</v>
      </c>
      <c r="V21" s="4">
        <f t="shared" si="78"/>
        <v>0.39854482386271323</v>
      </c>
      <c r="W21" s="4">
        <f t="shared" si="79"/>
        <v>19980.7214695</v>
      </c>
      <c r="X21" s="4">
        <f t="shared" si="80"/>
        <v>1401.7390805</v>
      </c>
      <c r="Y21" s="4">
        <f t="shared" si="81"/>
        <v>0.14388123556304511</v>
      </c>
      <c r="Z21" s="4">
        <f t="shared" si="82"/>
        <v>2.5901279111851898</v>
      </c>
      <c r="AA21" s="4">
        <f t="shared" si="83"/>
        <v>0.8219406177815225</v>
      </c>
      <c r="AB21" s="4">
        <f t="shared" si="84"/>
        <v>1</v>
      </c>
      <c r="AC21" s="4">
        <f t="shared" si="85"/>
        <v>1</v>
      </c>
    </row>
    <row r="22" spans="1:29" x14ac:dyDescent="0.25">
      <c r="A22" s="1" t="s">
        <v>58</v>
      </c>
      <c r="B22" s="1">
        <v>100</v>
      </c>
      <c r="C22" s="1">
        <v>1.9</v>
      </c>
      <c r="D22" s="1">
        <v>404</v>
      </c>
      <c r="E22">
        <v>97.28</v>
      </c>
      <c r="F22" s="1">
        <v>300</v>
      </c>
      <c r="G22" s="8">
        <f t="shared" si="65"/>
        <v>52.631578947368425</v>
      </c>
      <c r="H22" s="8">
        <f t="shared" si="66"/>
        <v>1.0053502550703</v>
      </c>
      <c r="I22" s="4">
        <f t="shared" si="67"/>
        <v>0.184</v>
      </c>
      <c r="J22" s="1">
        <v>1125</v>
      </c>
      <c r="K22" s="4">
        <f t="shared" si="68"/>
        <v>838</v>
      </c>
      <c r="L22" s="8">
        <v>3</v>
      </c>
      <c r="M22" s="4">
        <f t="shared" si="69"/>
        <v>944</v>
      </c>
      <c r="N22" s="4">
        <f t="shared" si="70"/>
        <v>949</v>
      </c>
      <c r="O22" s="4">
        <f t="shared" si="71"/>
        <v>1022</v>
      </c>
      <c r="P22" s="4">
        <f t="shared" si="72"/>
        <v>1022</v>
      </c>
      <c r="Q22" s="4">
        <f t="shared" si="73"/>
        <v>1.34</v>
      </c>
      <c r="R22" s="4">
        <f t="shared" si="74"/>
        <v>1.19</v>
      </c>
      <c r="S22" s="4">
        <f t="shared" si="75"/>
        <v>1.19</v>
      </c>
      <c r="T22" s="8">
        <f t="shared" si="76"/>
        <v>1.101</v>
      </c>
      <c r="U22" s="8">
        <f t="shared" si="77"/>
        <v>1.101</v>
      </c>
      <c r="V22" s="4">
        <f t="shared" si="78"/>
        <v>0.25060040093593206</v>
      </c>
      <c r="W22" s="4">
        <f t="shared" si="79"/>
        <v>7268.4186671200005</v>
      </c>
      <c r="X22" s="4">
        <f t="shared" si="80"/>
        <v>585.56133287999967</v>
      </c>
      <c r="Y22" s="4">
        <f t="shared" si="81"/>
        <v>0.18406431532518483</v>
      </c>
      <c r="Z22" s="4">
        <f t="shared" si="82"/>
        <v>2.070764593478275</v>
      </c>
      <c r="AA22" s="4">
        <f t="shared" si="83"/>
        <v>0.84203215766259243</v>
      </c>
      <c r="AB22" s="4">
        <f t="shared" si="84"/>
        <v>1</v>
      </c>
      <c r="AC22" s="4">
        <f t="shared" si="85"/>
        <v>1</v>
      </c>
    </row>
    <row r="23" spans="1:29" x14ac:dyDescent="0.25">
      <c r="A23" s="1" t="s">
        <v>59</v>
      </c>
      <c r="B23" s="1">
        <v>100</v>
      </c>
      <c r="C23" s="1">
        <v>1.9</v>
      </c>
      <c r="D23" s="1">
        <v>404</v>
      </c>
      <c r="E23">
        <v>97.28</v>
      </c>
      <c r="F23" s="1">
        <v>300</v>
      </c>
      <c r="G23" s="8">
        <f t="shared" si="65"/>
        <v>52.631578947368425</v>
      </c>
      <c r="H23" s="8">
        <f t="shared" si="66"/>
        <v>1.0053502550703</v>
      </c>
      <c r="I23" s="4">
        <f t="shared" si="67"/>
        <v>0.184</v>
      </c>
      <c r="J23" s="1">
        <v>1085</v>
      </c>
      <c r="K23" s="4">
        <f t="shared" si="68"/>
        <v>838</v>
      </c>
      <c r="L23" s="8">
        <v>3</v>
      </c>
      <c r="M23" s="4">
        <f t="shared" si="69"/>
        <v>944</v>
      </c>
      <c r="N23" s="4">
        <f t="shared" si="70"/>
        <v>949</v>
      </c>
      <c r="O23" s="4">
        <f t="shared" si="71"/>
        <v>1022</v>
      </c>
      <c r="P23" s="4">
        <f t="shared" si="72"/>
        <v>1022</v>
      </c>
      <c r="Q23" s="4">
        <f t="shared" si="73"/>
        <v>1.29</v>
      </c>
      <c r="R23" s="4">
        <f t="shared" si="74"/>
        <v>1.1499999999999999</v>
      </c>
      <c r="S23" s="4">
        <f t="shared" si="75"/>
        <v>1.1399999999999999</v>
      </c>
      <c r="T23" s="8">
        <f t="shared" si="76"/>
        <v>1.0620000000000001</v>
      </c>
      <c r="U23" s="8">
        <f t="shared" si="77"/>
        <v>1.0620000000000001</v>
      </c>
      <c r="V23" s="4">
        <f t="shared" si="78"/>
        <v>0.25060040093593206</v>
      </c>
      <c r="W23" s="4">
        <f t="shared" si="79"/>
        <v>7268.4186671200005</v>
      </c>
      <c r="X23" s="4">
        <f t="shared" si="80"/>
        <v>585.56133287999967</v>
      </c>
      <c r="Y23" s="4">
        <f t="shared" si="81"/>
        <v>0.18406431532518483</v>
      </c>
      <c r="Z23" s="4">
        <f t="shared" si="82"/>
        <v>2.070764593478275</v>
      </c>
      <c r="AA23" s="4">
        <f t="shared" si="83"/>
        <v>0.84203215766259243</v>
      </c>
      <c r="AB23" s="4">
        <f t="shared" si="84"/>
        <v>1</v>
      </c>
      <c r="AC23" s="4">
        <f t="shared" si="85"/>
        <v>1</v>
      </c>
    </row>
    <row r="24" spans="1:29" x14ac:dyDescent="0.25">
      <c r="A24" s="1" t="s">
        <v>60</v>
      </c>
      <c r="B24" s="1">
        <v>100</v>
      </c>
      <c r="C24" s="1">
        <v>1.9</v>
      </c>
      <c r="D24" s="1">
        <v>404</v>
      </c>
      <c r="E24">
        <v>97.28</v>
      </c>
      <c r="F24" s="1">
        <v>300</v>
      </c>
      <c r="G24" s="8">
        <f t="shared" si="65"/>
        <v>52.631578947368425</v>
      </c>
      <c r="H24" s="8">
        <f t="shared" si="66"/>
        <v>1.0053502550703</v>
      </c>
      <c r="I24" s="4">
        <f t="shared" si="67"/>
        <v>0.184</v>
      </c>
      <c r="J24" s="1">
        <v>1100</v>
      </c>
      <c r="K24" s="4">
        <f t="shared" si="68"/>
        <v>838</v>
      </c>
      <c r="L24" s="8">
        <v>3</v>
      </c>
      <c r="M24" s="4">
        <f t="shared" si="69"/>
        <v>944</v>
      </c>
      <c r="N24" s="4">
        <f t="shared" si="70"/>
        <v>949</v>
      </c>
      <c r="O24" s="4">
        <f t="shared" si="71"/>
        <v>1022</v>
      </c>
      <c r="P24" s="4">
        <f t="shared" si="72"/>
        <v>1022</v>
      </c>
      <c r="Q24" s="4">
        <f t="shared" si="73"/>
        <v>1.31</v>
      </c>
      <c r="R24" s="4">
        <f t="shared" si="74"/>
        <v>1.17</v>
      </c>
      <c r="S24" s="4">
        <f t="shared" si="75"/>
        <v>1.1599999999999999</v>
      </c>
      <c r="T24" s="8">
        <f t="shared" si="76"/>
        <v>1.0760000000000001</v>
      </c>
      <c r="U24" s="8">
        <f t="shared" si="77"/>
        <v>1.0760000000000001</v>
      </c>
      <c r="V24" s="4">
        <f t="shared" si="78"/>
        <v>0.25060040093593206</v>
      </c>
      <c r="W24" s="4">
        <f t="shared" si="79"/>
        <v>7268.4186671200005</v>
      </c>
      <c r="X24" s="4">
        <f t="shared" si="80"/>
        <v>585.56133287999967</v>
      </c>
      <c r="Y24" s="4">
        <f t="shared" si="81"/>
        <v>0.18406431532518483</v>
      </c>
      <c r="Z24" s="4">
        <f t="shared" si="82"/>
        <v>2.070764593478275</v>
      </c>
      <c r="AA24" s="4">
        <f t="shared" si="83"/>
        <v>0.84203215766259243</v>
      </c>
      <c r="AB24" s="4">
        <f t="shared" si="84"/>
        <v>1</v>
      </c>
      <c r="AC24" s="4">
        <f t="shared" si="85"/>
        <v>1</v>
      </c>
    </row>
    <row r="25" spans="1:29" x14ac:dyDescent="0.25">
      <c r="A25" s="1" t="s">
        <v>61</v>
      </c>
      <c r="B25" s="1">
        <v>100</v>
      </c>
      <c r="C25" s="1">
        <v>1.9</v>
      </c>
      <c r="D25" s="1">
        <v>404</v>
      </c>
      <c r="E25">
        <v>97.28</v>
      </c>
      <c r="F25" s="1">
        <v>300</v>
      </c>
      <c r="G25" s="8">
        <f t="shared" si="65"/>
        <v>52.631578947368425</v>
      </c>
      <c r="H25" s="8">
        <f t="shared" si="66"/>
        <v>1.0053502550703</v>
      </c>
      <c r="I25" s="4">
        <f t="shared" si="67"/>
        <v>0.184</v>
      </c>
      <c r="J25" s="1">
        <v>1170</v>
      </c>
      <c r="K25" s="4">
        <f t="shared" si="68"/>
        <v>838</v>
      </c>
      <c r="L25" s="8">
        <v>3</v>
      </c>
      <c r="M25" s="4">
        <f t="shared" si="69"/>
        <v>944</v>
      </c>
      <c r="N25" s="4">
        <f t="shared" si="70"/>
        <v>949</v>
      </c>
      <c r="O25" s="4">
        <f t="shared" si="71"/>
        <v>1022</v>
      </c>
      <c r="P25" s="4">
        <f t="shared" si="72"/>
        <v>1022</v>
      </c>
      <c r="Q25" s="4">
        <f t="shared" si="73"/>
        <v>1.4</v>
      </c>
      <c r="R25" s="4">
        <f t="shared" si="74"/>
        <v>1.24</v>
      </c>
      <c r="S25" s="4">
        <f t="shared" si="75"/>
        <v>1.23</v>
      </c>
      <c r="T25" s="8">
        <f t="shared" si="76"/>
        <v>1.145</v>
      </c>
      <c r="U25" s="8">
        <f t="shared" si="77"/>
        <v>1.145</v>
      </c>
      <c r="V25" s="4">
        <f t="shared" si="78"/>
        <v>0.25060040093593206</v>
      </c>
      <c r="W25" s="4">
        <f t="shared" si="79"/>
        <v>7268.4186671200005</v>
      </c>
      <c r="X25" s="4">
        <f t="shared" si="80"/>
        <v>585.56133287999967</v>
      </c>
      <c r="Y25" s="4">
        <f t="shared" si="81"/>
        <v>0.18406431532518483</v>
      </c>
      <c r="Z25" s="4">
        <f t="shared" si="82"/>
        <v>2.070764593478275</v>
      </c>
      <c r="AA25" s="4">
        <f t="shared" si="83"/>
        <v>0.84203215766259243</v>
      </c>
      <c r="AB25" s="4">
        <f t="shared" si="84"/>
        <v>1</v>
      </c>
      <c r="AC25" s="4">
        <f t="shared" si="85"/>
        <v>1</v>
      </c>
    </row>
    <row r="26" spans="1:29" x14ac:dyDescent="0.25">
      <c r="A26" s="2" t="s">
        <v>83</v>
      </c>
      <c r="B26" s="3">
        <v>2013</v>
      </c>
      <c r="C26" s="3" t="s">
        <v>78</v>
      </c>
      <c r="G26" s="8"/>
      <c r="H26" s="8"/>
      <c r="I26" s="4"/>
      <c r="K26" s="4"/>
      <c r="L26" s="8"/>
      <c r="M26" s="4"/>
      <c r="N26" s="4"/>
      <c r="O26" s="4"/>
      <c r="P26" s="6" t="s">
        <v>85</v>
      </c>
      <c r="Q26" s="15">
        <f>AVERAGE(Q16:Q25)</f>
        <v>1.389</v>
      </c>
      <c r="R26" s="15">
        <f t="shared" ref="R26:U26" si="86">AVERAGE(R16:R25)</f>
        <v>1.254</v>
      </c>
      <c r="S26" s="15">
        <f t="shared" si="86"/>
        <v>1.1800000000000002</v>
      </c>
      <c r="T26" s="15">
        <f t="shared" si="86"/>
        <v>1.1015999999999999</v>
      </c>
      <c r="U26" s="15">
        <f t="shared" si="86"/>
        <v>1.1015999999999999</v>
      </c>
      <c r="V26" s="4"/>
      <c r="W26" s="4"/>
      <c r="X26" s="4"/>
      <c r="Y26" s="4"/>
      <c r="Z26" s="4"/>
      <c r="AA26" s="4"/>
      <c r="AB26" s="4"/>
      <c r="AC26" s="4"/>
    </row>
    <row r="27" spans="1:29" x14ac:dyDescent="0.25">
      <c r="A27" s="1" t="s">
        <v>64</v>
      </c>
      <c r="B27" s="1">
        <v>111.64</v>
      </c>
      <c r="C27" s="1">
        <v>1.9</v>
      </c>
      <c r="D27" s="1">
        <v>261.3</v>
      </c>
      <c r="E27">
        <v>38.24</v>
      </c>
      <c r="F27" s="1">
        <v>400</v>
      </c>
      <c r="G27" s="8">
        <f t="shared" si="65"/>
        <v>58.757894736842111</v>
      </c>
      <c r="H27" s="8">
        <f t="shared" si="66"/>
        <v>0.72593086972751031</v>
      </c>
      <c r="I27" s="4">
        <f t="shared" si="67"/>
        <v>0.159</v>
      </c>
      <c r="J27" s="1">
        <v>666.6</v>
      </c>
      <c r="K27" s="4">
        <f t="shared" ref="K27:K29" si="87">ROUND((0.85*E27*W27+D27*X27)/1000,0)</f>
        <v>468</v>
      </c>
      <c r="L27" s="8">
        <v>3.5829451809387316</v>
      </c>
      <c r="M27" s="4">
        <f t="shared" ref="M27:M29" si="88">ROUND((E27*W27+D27*X27)/1000,0)</f>
        <v>520</v>
      </c>
      <c r="N27" s="4">
        <f t="shared" ref="N27:N29" si="89">ROUND((0.85*E27*W27+6*C27*D27*W27/(B27-2*C27))/1000,0)</f>
        <v>549</v>
      </c>
      <c r="O27" s="4">
        <f t="shared" ref="O27:O29" si="90">ROUND(((AA27*D27*X27)+(E27*W27*(1+Z27*(C27/B27)*(D27/E27))))/1000,0)</f>
        <v>588</v>
      </c>
      <c r="P27" s="4">
        <f t="shared" ref="P27:P29" si="91">ROUND(AC27*O27,0)</f>
        <v>588</v>
      </c>
      <c r="Q27" s="4">
        <f t="shared" ref="Q27:Q29" si="92">ROUND((J27/K27),2)</f>
        <v>1.42</v>
      </c>
      <c r="R27" s="4">
        <f t="shared" ref="R27:R29" si="93">ROUND((J27/M27),2)</f>
        <v>1.28</v>
      </c>
      <c r="S27" s="4">
        <f t="shared" ref="S27:S29" si="94">ROUND((J27/N27),2)</f>
        <v>1.21</v>
      </c>
      <c r="T27" s="8">
        <f t="shared" ref="T27:T29" si="95">ROUND((J27/O27),3)</f>
        <v>1.1339999999999999</v>
      </c>
      <c r="U27" s="8">
        <f t="shared" ref="U27:U29" si="96">ROUND((J27/P27),3)</f>
        <v>1.1339999999999999</v>
      </c>
      <c r="V27" s="4">
        <f t="shared" ref="V27:V29" si="97">D27*X27/(1000*M27)</f>
        <v>0.32915799272987978</v>
      </c>
      <c r="W27" s="4">
        <f t="shared" ref="W27:W29" si="98">0.785398*((B27-2*C27)^2)</f>
        <v>9133.7590233088013</v>
      </c>
      <c r="X27" s="4">
        <f t="shared" ref="X27:X29" si="99">0.785398*(B27*B27-(B27-2*C27)*(B27-2*C27))</f>
        <v>655.04078155199954</v>
      </c>
      <c r="Y27" s="4">
        <f t="shared" ref="Y27:Y29" si="100">SQRT((64*M27*F27*F27)/(PI()^3*((B27^4-(B27-2*C27)^4)*200+5.7*(E27+8)^0.33333*((B27-2*C27)^4-H27^4))))</f>
        <v>0.15908476474311967</v>
      </c>
      <c r="Z27" s="4">
        <f t="shared" ref="Z27:Z29" si="101">IF((4.9-18.5*Y27+17*Y27*Y27)&lt;0,0,(4.9-18.5*Y27+17*Y27*Y27))</f>
        <v>2.3871672125996399</v>
      </c>
      <c r="AA27" s="4">
        <f t="shared" ref="AA27:AA29" si="102">IF((0.25*(3+2*Y27))&gt;1,1,(0.25*(3+2*Y27)))</f>
        <v>0.82954238237155986</v>
      </c>
      <c r="AB27" s="4">
        <f t="shared" ref="AB27:AB29" si="103">IF(Y27&lt;0.2,1,(1+0.158*SQRT(Y27*Y27-0.04)+Y27*Y27))</f>
        <v>1</v>
      </c>
      <c r="AC27" s="4">
        <f t="shared" ref="AC27:AC29" si="104">IF(Y27&lt;0.2,1,(AB27-SQRT(AB27*AB27-4*Y27*Y27))/(2*Y27*Y27))</f>
        <v>1</v>
      </c>
    </row>
    <row r="28" spans="1:29" x14ac:dyDescent="0.25">
      <c r="A28" s="1" t="s">
        <v>65</v>
      </c>
      <c r="B28" s="1">
        <v>111.64</v>
      </c>
      <c r="C28" s="1">
        <v>1.9</v>
      </c>
      <c r="D28" s="1">
        <v>261.3</v>
      </c>
      <c r="E28">
        <v>45.360000000000007</v>
      </c>
      <c r="F28" s="1">
        <v>400</v>
      </c>
      <c r="G28" s="8">
        <f t="shared" si="65"/>
        <v>58.757894736842111</v>
      </c>
      <c r="H28" s="8">
        <f t="shared" si="66"/>
        <v>0.72593086972751031</v>
      </c>
      <c r="I28" s="4">
        <f t="shared" si="67"/>
        <v>0.16700000000000001</v>
      </c>
      <c r="J28" s="1">
        <v>701.9</v>
      </c>
      <c r="K28" s="4">
        <f t="shared" si="87"/>
        <v>523</v>
      </c>
      <c r="L28" s="8">
        <v>3.5829451809387316</v>
      </c>
      <c r="M28" s="4">
        <f t="shared" si="88"/>
        <v>585</v>
      </c>
      <c r="N28" s="4">
        <f t="shared" si="89"/>
        <v>604</v>
      </c>
      <c r="O28" s="4">
        <f t="shared" si="90"/>
        <v>650</v>
      </c>
      <c r="P28" s="4">
        <f t="shared" si="91"/>
        <v>650</v>
      </c>
      <c r="Q28" s="4">
        <f t="shared" si="92"/>
        <v>1.34</v>
      </c>
      <c r="R28" s="4">
        <f t="shared" si="93"/>
        <v>1.2</v>
      </c>
      <c r="S28" s="4">
        <f t="shared" si="94"/>
        <v>1.1599999999999999</v>
      </c>
      <c r="T28" s="8">
        <f t="shared" si="95"/>
        <v>1.08</v>
      </c>
      <c r="U28" s="8">
        <f t="shared" si="96"/>
        <v>1.08</v>
      </c>
      <c r="V28" s="4">
        <f t="shared" si="97"/>
        <v>0.29258488242655978</v>
      </c>
      <c r="W28" s="4">
        <f t="shared" si="98"/>
        <v>9133.7590233088013</v>
      </c>
      <c r="X28" s="4">
        <f t="shared" si="99"/>
        <v>655.04078155199954</v>
      </c>
      <c r="Y28" s="4">
        <f t="shared" si="100"/>
        <v>0.1670775340144674</v>
      </c>
      <c r="Z28" s="4">
        <f t="shared" si="101"/>
        <v>2.2836189610623969</v>
      </c>
      <c r="AA28" s="4">
        <f t="shared" si="102"/>
        <v>0.83353876700723373</v>
      </c>
      <c r="AB28" s="4">
        <f t="shared" si="103"/>
        <v>1</v>
      </c>
      <c r="AC28" s="4">
        <f t="shared" si="104"/>
        <v>1</v>
      </c>
    </row>
    <row r="29" spans="1:29" x14ac:dyDescent="0.25">
      <c r="A29" s="1" t="s">
        <v>66</v>
      </c>
      <c r="B29" s="1">
        <v>113.64</v>
      </c>
      <c r="C29" s="1">
        <v>3.64</v>
      </c>
      <c r="D29" s="1">
        <v>259.60000000000002</v>
      </c>
      <c r="E29">
        <v>45.360000000000007</v>
      </c>
      <c r="F29" s="1">
        <v>400</v>
      </c>
      <c r="G29" s="8">
        <f t="shared" si="65"/>
        <v>31.219780219780219</v>
      </c>
      <c r="H29" s="8">
        <f t="shared" si="66"/>
        <v>0.38319881536902817</v>
      </c>
      <c r="I29" s="4">
        <f t="shared" si="67"/>
        <v>0.151</v>
      </c>
      <c r="J29" s="1">
        <v>1011</v>
      </c>
      <c r="K29" s="4">
        <f t="shared" si="87"/>
        <v>669</v>
      </c>
      <c r="L29" s="8">
        <v>3.5198873636043646</v>
      </c>
      <c r="M29" s="4">
        <f t="shared" si="88"/>
        <v>730</v>
      </c>
      <c r="N29" s="4">
        <f t="shared" si="89"/>
        <v>816</v>
      </c>
      <c r="O29" s="4">
        <f t="shared" si="90"/>
        <v>856</v>
      </c>
      <c r="P29" s="4">
        <f t="shared" si="91"/>
        <v>856</v>
      </c>
      <c r="Q29" s="4">
        <f t="shared" si="92"/>
        <v>1.51</v>
      </c>
      <c r="R29" s="4">
        <f t="shared" si="93"/>
        <v>1.38</v>
      </c>
      <c r="S29" s="4">
        <f t="shared" si="94"/>
        <v>1.24</v>
      </c>
      <c r="T29" s="8">
        <f t="shared" si="95"/>
        <v>1.181</v>
      </c>
      <c r="U29" s="8">
        <f t="shared" si="96"/>
        <v>1.181</v>
      </c>
      <c r="V29" s="4">
        <f t="shared" si="97"/>
        <v>0.44732758382641113</v>
      </c>
      <c r="W29" s="4">
        <f t="shared" si="98"/>
        <v>8884.7752909408009</v>
      </c>
      <c r="X29" s="4">
        <f t="shared" si="99"/>
        <v>1257.8934368000002</v>
      </c>
      <c r="Y29" s="4">
        <f t="shared" si="100"/>
        <v>0.1514817884735441</v>
      </c>
      <c r="Z29" s="4">
        <f t="shared" si="101"/>
        <v>2.4876813613048752</v>
      </c>
      <c r="AA29" s="4">
        <f t="shared" si="102"/>
        <v>0.8257408942367721</v>
      </c>
      <c r="AB29" s="4">
        <f t="shared" si="103"/>
        <v>1</v>
      </c>
      <c r="AC29" s="4">
        <f t="shared" si="104"/>
        <v>1</v>
      </c>
    </row>
    <row r="30" spans="1:29" s="1" customFormat="1" x14ac:dyDescent="0.25">
      <c r="A30" s="2"/>
      <c r="B30" s="3"/>
      <c r="C30" s="3"/>
      <c r="G30" s="8"/>
      <c r="H30" s="8"/>
      <c r="I30" s="4"/>
      <c r="K30" s="4"/>
      <c r="L30" s="8"/>
      <c r="M30" s="4"/>
      <c r="N30" s="4"/>
      <c r="O30" s="4"/>
      <c r="P30" s="6" t="s">
        <v>84</v>
      </c>
      <c r="Q30" s="15">
        <f>AVERAGE(Q27:Q29)</f>
        <v>1.4233333333333331</v>
      </c>
      <c r="R30" s="15">
        <f t="shared" ref="R30:U30" si="105">AVERAGE(R27:R29)</f>
        <v>1.2866666666666666</v>
      </c>
      <c r="S30" s="15">
        <f t="shared" si="105"/>
        <v>1.2033333333333334</v>
      </c>
      <c r="T30" s="15">
        <f t="shared" si="105"/>
        <v>1.1316666666666666</v>
      </c>
      <c r="U30" s="15">
        <f t="shared" si="105"/>
        <v>1.1316666666666666</v>
      </c>
      <c r="V30" s="4"/>
      <c r="W30" s="4"/>
      <c r="X30" s="4"/>
      <c r="Y30" s="4"/>
      <c r="Z30" s="4"/>
      <c r="AA30" s="4"/>
      <c r="AB30" s="4"/>
      <c r="AC30" s="4"/>
    </row>
    <row r="31" spans="1:29" x14ac:dyDescent="0.25">
      <c r="A31" s="2" t="s">
        <v>73</v>
      </c>
      <c r="B31" s="3">
        <v>2001</v>
      </c>
      <c r="C31" s="3" t="s">
        <v>63</v>
      </c>
      <c r="G31" s="8"/>
      <c r="H31" s="8"/>
      <c r="I31" s="4"/>
      <c r="K31" s="4"/>
      <c r="L31" s="8"/>
      <c r="M31" s="4"/>
      <c r="N31" s="4"/>
      <c r="O31" s="4"/>
      <c r="P31" s="6"/>
      <c r="Q31" s="15"/>
      <c r="R31" s="15"/>
      <c r="S31" s="15"/>
      <c r="T31" s="15"/>
      <c r="U31" s="15"/>
      <c r="V31" s="4"/>
      <c r="W31" s="4"/>
      <c r="X31" s="4"/>
      <c r="Y31" s="4"/>
      <c r="Z31" s="4"/>
      <c r="AA31" s="4"/>
      <c r="AB31" s="4"/>
      <c r="AC31" s="4"/>
    </row>
    <row r="32" spans="1:29" x14ac:dyDescent="0.25">
      <c r="A32" t="s">
        <v>74</v>
      </c>
      <c r="B32" s="1">
        <v>114.3</v>
      </c>
      <c r="C32" s="1">
        <v>2.74</v>
      </c>
      <c r="D32" s="1">
        <v>235</v>
      </c>
      <c r="E32" s="1">
        <v>56.2</v>
      </c>
      <c r="F32">
        <v>300</v>
      </c>
      <c r="G32" s="8">
        <f t="shared" si="65"/>
        <v>41.715328467153277</v>
      </c>
      <c r="H32" s="8">
        <f t="shared" si="66"/>
        <v>0.46350364963503643</v>
      </c>
      <c r="I32" s="4">
        <f t="shared" si="67"/>
        <v>0.122</v>
      </c>
      <c r="J32">
        <v>902</v>
      </c>
      <c r="K32" s="4">
        <f t="shared" ref="K32:K36" si="106">ROUND((0.85*E32*W32+D32*X32)/1000,0)</f>
        <v>670</v>
      </c>
      <c r="L32" s="8">
        <v>2.6246719160104988</v>
      </c>
      <c r="M32" s="4">
        <f t="shared" ref="M32:M36" si="107">ROUND((E32*W32+D32*X32)/1000,0)</f>
        <v>748</v>
      </c>
      <c r="N32" s="4">
        <f t="shared" ref="N32:N36" si="108">ROUND((0.85*E32*W32+6*C32*D32*W32/(B32-2*C32))/1000,0)</f>
        <v>774</v>
      </c>
      <c r="O32" s="4">
        <f t="shared" ref="O32:O36" si="109">ROUND(((AA32*D32*X32)+(E32*W32*(1+Z32*(C32/B32)*(D32/E32))))/1000,0)</f>
        <v>857</v>
      </c>
      <c r="P32" s="4">
        <f t="shared" ref="P32:P36" si="110">ROUND(AC32*O32,0)</f>
        <v>857</v>
      </c>
      <c r="Q32" s="4">
        <f t="shared" ref="Q32:Q36" si="111">ROUND((J32/K32),2)</f>
        <v>1.35</v>
      </c>
      <c r="R32" s="4">
        <f t="shared" ref="R32:R36" si="112">ROUND((J32/M32),2)</f>
        <v>1.21</v>
      </c>
      <c r="S32" s="4">
        <f t="shared" ref="S32:S36" si="113">ROUND((J32/N32),2)</f>
        <v>1.17</v>
      </c>
      <c r="T32" s="8">
        <f t="shared" ref="T32:T36" si="114">ROUND((J32/O32),3)</f>
        <v>1.0529999999999999</v>
      </c>
      <c r="U32" s="8">
        <f t="shared" ref="U32:U36" si="115">ROUND((J32/P32),3)</f>
        <v>1.0529999999999999</v>
      </c>
      <c r="V32" s="4">
        <f t="shared" ref="V32:V36" si="116">D32*X32/(1000*M32)</f>
        <v>0.30169986452744418</v>
      </c>
      <c r="W32" s="4">
        <f t="shared" ref="W32:W36" si="117">0.785398*((B32-2*C32)^2)</f>
        <v>9300.5200673751988</v>
      </c>
      <c r="X32" s="4">
        <f t="shared" ref="X32:X36" si="118">0.785398*(B32*B32-(B32-2*C32)*(B32-2*C32))</f>
        <v>960.30424964480108</v>
      </c>
      <c r="Y32" s="4">
        <f t="shared" ref="Y32:Y36" si="119">SQRT((64*M32*F32*F32)/(PI()^3*((B32^4-(B32-2*C32)^4)*200+5.7*(E32+8)^0.33333*((B32-2*C32)^4-H32^4))))</f>
        <v>0.1222938950831165</v>
      </c>
      <c r="Z32" s="4">
        <f t="shared" ref="Z32:Z36" si="120">IF((4.9-18.5*Y32+17*Y32*Y32)&lt;0,0,(4.9-18.5*Y32+17*Y32*Y32))</f>
        <v>2.8918114861305506</v>
      </c>
      <c r="AA32" s="4">
        <f t="shared" ref="AA32:AA36" si="121">IF((0.25*(3+2*Y32))&gt;1,1,(0.25*(3+2*Y32)))</f>
        <v>0.81114694754155825</v>
      </c>
      <c r="AB32" s="4">
        <f t="shared" ref="AB32:AB36" si="122">IF(Y32&lt;0.2,1,(1+0.158*SQRT(Y32*Y32-0.04)+Y32*Y32))</f>
        <v>1</v>
      </c>
      <c r="AC32" s="4">
        <f t="shared" ref="AC32:AC36" si="123">IF(Y32&lt;0.2,1,(AB32-SQRT(AB32*AB32-4*Y32*Y32))/(2*Y32*Y32))</f>
        <v>1</v>
      </c>
    </row>
    <row r="33" spans="1:29" x14ac:dyDescent="0.25">
      <c r="A33" s="1" t="s">
        <v>74</v>
      </c>
      <c r="B33" s="1">
        <v>114.3</v>
      </c>
      <c r="C33" s="1">
        <v>2.74</v>
      </c>
      <c r="D33" s="1">
        <v>235</v>
      </c>
      <c r="E33">
        <v>66.75</v>
      </c>
      <c r="F33">
        <v>300</v>
      </c>
      <c r="G33" s="8">
        <f t="shared" ref="G33:G36" si="124">B33/C33</f>
        <v>41.715328467153277</v>
      </c>
      <c r="H33" s="8">
        <f t="shared" ref="H33:H36" si="125">G33/(21150/D33)</f>
        <v>0.46350364963503643</v>
      </c>
      <c r="I33" s="4">
        <f t="shared" ref="I33:I36" si="126">ROUND(Y33,3)</f>
        <v>0.129</v>
      </c>
      <c r="J33">
        <v>981</v>
      </c>
      <c r="K33" s="4">
        <f t="shared" si="106"/>
        <v>753</v>
      </c>
      <c r="L33" s="8">
        <v>2.6246719160104988</v>
      </c>
      <c r="M33" s="4">
        <f t="shared" si="107"/>
        <v>846</v>
      </c>
      <c r="N33" s="4">
        <f t="shared" si="108"/>
        <v>858</v>
      </c>
      <c r="O33" s="4">
        <f t="shared" si="109"/>
        <v>951</v>
      </c>
      <c r="P33" s="4">
        <f t="shared" si="110"/>
        <v>951</v>
      </c>
      <c r="Q33" s="4">
        <f t="shared" si="111"/>
        <v>1.3</v>
      </c>
      <c r="R33" s="4">
        <f t="shared" si="112"/>
        <v>1.1599999999999999</v>
      </c>
      <c r="S33" s="4">
        <f t="shared" si="113"/>
        <v>1.1399999999999999</v>
      </c>
      <c r="T33" s="8">
        <f t="shared" si="114"/>
        <v>1.032</v>
      </c>
      <c r="U33" s="8">
        <f t="shared" si="115"/>
        <v>1.032</v>
      </c>
      <c r="V33" s="4">
        <f t="shared" si="116"/>
        <v>0.26675118045688923</v>
      </c>
      <c r="W33" s="4">
        <f t="shared" si="117"/>
        <v>9300.5200673751988</v>
      </c>
      <c r="X33" s="4">
        <f t="shared" si="118"/>
        <v>960.30424964480108</v>
      </c>
      <c r="Y33" s="4">
        <f t="shared" si="119"/>
        <v>0.12890871486337716</v>
      </c>
      <c r="Z33" s="4">
        <f t="shared" si="120"/>
        <v>2.79768554007889</v>
      </c>
      <c r="AA33" s="4">
        <f t="shared" si="121"/>
        <v>0.81445435743168859</v>
      </c>
      <c r="AB33" s="4">
        <f t="shared" si="122"/>
        <v>1</v>
      </c>
      <c r="AC33" s="4">
        <f t="shared" si="123"/>
        <v>1</v>
      </c>
    </row>
    <row r="34" spans="1:29" x14ac:dyDescent="0.25">
      <c r="A34" s="1" t="s">
        <v>74</v>
      </c>
      <c r="B34" s="1">
        <v>114.3</v>
      </c>
      <c r="C34" s="1">
        <v>2.74</v>
      </c>
      <c r="D34" s="1">
        <v>235</v>
      </c>
      <c r="E34">
        <v>107.2</v>
      </c>
      <c r="F34">
        <v>300</v>
      </c>
      <c r="G34" s="8">
        <f t="shared" si="124"/>
        <v>41.715328467153277</v>
      </c>
      <c r="H34" s="8">
        <f t="shared" si="125"/>
        <v>0.46350364963503643</v>
      </c>
      <c r="I34" s="4">
        <f t="shared" si="126"/>
        <v>0.151</v>
      </c>
      <c r="J34">
        <v>1295</v>
      </c>
      <c r="K34" s="4">
        <f t="shared" si="106"/>
        <v>1073</v>
      </c>
      <c r="L34" s="8">
        <v>2.6246719160104988</v>
      </c>
      <c r="M34" s="4">
        <f t="shared" si="107"/>
        <v>1223</v>
      </c>
      <c r="N34" s="4">
        <f t="shared" si="108"/>
        <v>1178</v>
      </c>
      <c r="O34" s="4">
        <f t="shared" si="109"/>
        <v>1314</v>
      </c>
      <c r="P34" s="4">
        <f t="shared" si="110"/>
        <v>1314</v>
      </c>
      <c r="Q34" s="4">
        <f t="shared" si="111"/>
        <v>1.21</v>
      </c>
      <c r="R34" s="4">
        <f t="shared" si="112"/>
        <v>1.06</v>
      </c>
      <c r="S34" s="4">
        <f t="shared" si="113"/>
        <v>1.1000000000000001</v>
      </c>
      <c r="T34" s="8">
        <f t="shared" si="114"/>
        <v>0.98599999999999999</v>
      </c>
      <c r="U34" s="8">
        <f t="shared" si="115"/>
        <v>0.98599999999999999</v>
      </c>
      <c r="V34" s="4">
        <f t="shared" si="116"/>
        <v>0.18452289343133954</v>
      </c>
      <c r="W34" s="4">
        <f t="shared" si="117"/>
        <v>9300.5200673751988</v>
      </c>
      <c r="X34" s="4">
        <f t="shared" si="118"/>
        <v>960.30424964480108</v>
      </c>
      <c r="Y34" s="4">
        <f t="shared" si="119"/>
        <v>0.15088312479768876</v>
      </c>
      <c r="Z34" s="4">
        <f t="shared" si="120"/>
        <v>2.4956793861709121</v>
      </c>
      <c r="AA34" s="4">
        <f t="shared" si="121"/>
        <v>0.82544156239884436</v>
      </c>
      <c r="AB34" s="4">
        <f t="shared" si="122"/>
        <v>1</v>
      </c>
      <c r="AC34" s="4">
        <f t="shared" si="123"/>
        <v>1</v>
      </c>
    </row>
    <row r="35" spans="1:29" x14ac:dyDescent="0.25">
      <c r="A35" t="s">
        <v>75</v>
      </c>
      <c r="B35" s="1">
        <v>114.3</v>
      </c>
      <c r="C35" s="1">
        <v>5.9</v>
      </c>
      <c r="D35" s="1">
        <v>355</v>
      </c>
      <c r="E35">
        <v>56.2</v>
      </c>
      <c r="F35">
        <v>300</v>
      </c>
      <c r="G35" s="8">
        <f t="shared" si="124"/>
        <v>19.372881355932201</v>
      </c>
      <c r="H35" s="8">
        <f t="shared" si="125"/>
        <v>0.32517129462675798</v>
      </c>
      <c r="I35" s="4">
        <f t="shared" si="126"/>
        <v>0.122</v>
      </c>
      <c r="J35">
        <v>1736</v>
      </c>
      <c r="K35" s="4">
        <f t="shared" si="106"/>
        <v>1107</v>
      </c>
      <c r="L35" s="8">
        <v>2.6246719160104988</v>
      </c>
      <c r="M35" s="4">
        <f t="shared" si="107"/>
        <v>1177</v>
      </c>
      <c r="N35" s="4">
        <f t="shared" si="108"/>
        <v>1406</v>
      </c>
      <c r="O35" s="4">
        <f t="shared" si="109"/>
        <v>1479</v>
      </c>
      <c r="P35" s="4">
        <f t="shared" si="110"/>
        <v>1479</v>
      </c>
      <c r="Q35" s="4">
        <f t="shared" si="111"/>
        <v>1.57</v>
      </c>
      <c r="R35" s="4">
        <f t="shared" si="112"/>
        <v>1.47</v>
      </c>
      <c r="S35" s="4">
        <f t="shared" si="113"/>
        <v>1.23</v>
      </c>
      <c r="T35" s="8">
        <f t="shared" si="114"/>
        <v>1.1739999999999999</v>
      </c>
      <c r="U35" s="8">
        <f t="shared" si="115"/>
        <v>1.1739999999999999</v>
      </c>
      <c r="V35" s="4">
        <f t="shared" si="116"/>
        <v>0.60601443137604072</v>
      </c>
      <c r="W35" s="4">
        <f t="shared" si="117"/>
        <v>8251.5877375</v>
      </c>
      <c r="X35" s="4">
        <f t="shared" si="118"/>
        <v>2009.2365795199999</v>
      </c>
      <c r="Y35" s="4">
        <f t="shared" si="119"/>
        <v>0.12246382739184547</v>
      </c>
      <c r="Z35" s="4">
        <f t="shared" si="120"/>
        <v>2.8893748065816744</v>
      </c>
      <c r="AA35" s="4">
        <f t="shared" si="121"/>
        <v>0.81123191369592274</v>
      </c>
      <c r="AB35" s="4">
        <f t="shared" si="122"/>
        <v>1</v>
      </c>
      <c r="AC35" s="4">
        <f t="shared" si="123"/>
        <v>1</v>
      </c>
    </row>
    <row r="36" spans="1:29" x14ac:dyDescent="0.25">
      <c r="A36" s="1" t="s">
        <v>75</v>
      </c>
      <c r="B36" s="1">
        <v>114.3</v>
      </c>
      <c r="C36" s="1">
        <v>5.9</v>
      </c>
      <c r="D36" s="1">
        <v>355</v>
      </c>
      <c r="E36">
        <v>66.75</v>
      </c>
      <c r="F36">
        <v>300</v>
      </c>
      <c r="G36" s="8">
        <f t="shared" si="124"/>
        <v>19.372881355932201</v>
      </c>
      <c r="H36" s="8">
        <f t="shared" si="125"/>
        <v>0.32517129462675798</v>
      </c>
      <c r="I36" s="4">
        <f t="shared" si="126"/>
        <v>0.126</v>
      </c>
      <c r="J36">
        <v>1819</v>
      </c>
      <c r="K36" s="4">
        <f t="shared" si="106"/>
        <v>1181</v>
      </c>
      <c r="L36" s="8">
        <v>2.6246719160104988</v>
      </c>
      <c r="M36" s="4">
        <f t="shared" si="107"/>
        <v>1264</v>
      </c>
      <c r="N36" s="4">
        <f t="shared" si="108"/>
        <v>1480</v>
      </c>
      <c r="O36" s="4">
        <f t="shared" si="109"/>
        <v>1559</v>
      </c>
      <c r="P36" s="4">
        <f t="shared" si="110"/>
        <v>1559</v>
      </c>
      <c r="Q36" s="4">
        <f t="shared" si="111"/>
        <v>1.54</v>
      </c>
      <c r="R36" s="4">
        <f t="shared" si="112"/>
        <v>1.44</v>
      </c>
      <c r="S36" s="4">
        <f t="shared" si="113"/>
        <v>1.23</v>
      </c>
      <c r="T36" s="8">
        <f t="shared" si="114"/>
        <v>1.167</v>
      </c>
      <c r="U36" s="8">
        <f t="shared" si="115"/>
        <v>1.167</v>
      </c>
      <c r="V36" s="4">
        <f t="shared" si="116"/>
        <v>0.56430299503924042</v>
      </c>
      <c r="W36" s="4">
        <f t="shared" si="117"/>
        <v>8251.5877375</v>
      </c>
      <c r="X36" s="4">
        <f t="shared" si="118"/>
        <v>2009.2365795199999</v>
      </c>
      <c r="Y36" s="4">
        <f t="shared" si="119"/>
        <v>0.12634259909579929</v>
      </c>
      <c r="Z36" s="4">
        <f t="shared" si="120"/>
        <v>2.8340236066145055</v>
      </c>
      <c r="AA36" s="4">
        <f t="shared" si="121"/>
        <v>0.81317129954789968</v>
      </c>
      <c r="AB36" s="4">
        <f t="shared" si="122"/>
        <v>1</v>
      </c>
      <c r="AC36" s="4">
        <f t="shared" si="123"/>
        <v>1</v>
      </c>
    </row>
    <row r="37" spans="1:29" x14ac:dyDescent="0.25">
      <c r="G37" s="19"/>
      <c r="H37" s="19"/>
      <c r="K37" s="4"/>
      <c r="L37" s="8"/>
      <c r="M37" s="4"/>
      <c r="N37" s="4"/>
      <c r="O37" s="4"/>
      <c r="P37" s="6" t="s">
        <v>262</v>
      </c>
      <c r="Q37" s="15">
        <f>AVERAGE(Q32:Q36)</f>
        <v>1.3940000000000001</v>
      </c>
      <c r="R37" s="15">
        <f>AVERAGE(R32:R36)</f>
        <v>1.268</v>
      </c>
      <c r="S37" s="15">
        <f>AVERAGE(S32:S36)</f>
        <v>1.1739999999999999</v>
      </c>
      <c r="T37" s="15">
        <f>AVERAGE(T32:T36)</f>
        <v>1.0823999999999998</v>
      </c>
      <c r="U37" s="15">
        <f>AVERAGE(U32:U36)</f>
        <v>1.0823999999999998</v>
      </c>
      <c r="V37" s="4"/>
      <c r="W37" s="4"/>
      <c r="X37" s="4"/>
      <c r="Y37" s="4"/>
      <c r="Z37" s="4"/>
      <c r="AA37" s="4"/>
      <c r="AB37" s="4"/>
      <c r="AC37" s="4"/>
    </row>
    <row r="38" spans="1:29" x14ac:dyDescent="0.25">
      <c r="K38" s="4"/>
      <c r="L38" s="8"/>
      <c r="M38" s="4"/>
      <c r="N38" s="4"/>
      <c r="O38" s="4"/>
      <c r="P38" s="6"/>
      <c r="Q38" s="13"/>
      <c r="R38" s="13"/>
      <c r="S38" s="13"/>
      <c r="T38" s="36"/>
      <c r="U38" s="36"/>
      <c r="V38" s="4"/>
      <c r="W38" s="4"/>
      <c r="X38" s="4"/>
      <c r="Y38" s="4"/>
      <c r="Z38" s="4"/>
      <c r="AA38" s="4"/>
      <c r="AB38" s="4"/>
      <c r="AC38" s="4"/>
    </row>
    <row r="39" spans="1:29" x14ac:dyDescent="0.25">
      <c r="K39" s="4"/>
      <c r="L39" s="8"/>
      <c r="M39" s="4"/>
      <c r="N39" s="4"/>
      <c r="O39" s="3" t="s">
        <v>86</v>
      </c>
      <c r="P39" s="3" t="s">
        <v>264</v>
      </c>
      <c r="Q39" s="16">
        <f>(Q7+Q11*2+Q15*3+Q26*10+Q30*3+Q37*5)/24</f>
        <v>1.2641666666666669</v>
      </c>
      <c r="R39" s="16">
        <f>(R7+R11*2+R15*3+R26*10+R30*3+R37*5)/24</f>
        <v>1.1458333333333333</v>
      </c>
      <c r="S39" s="16">
        <f>(S7+S11*2+S15*3+S26*10+S30*3+S37*5)/24</f>
        <v>1.1220833333333333</v>
      </c>
      <c r="T39" s="16">
        <f>(T7+T11*2+T15*3+T26*10+T30*3+T37*5)/24</f>
        <v>1.0494166666666664</v>
      </c>
      <c r="U39" s="16">
        <f>(U7+U11*2+U15*3+U26*10+U30*3+U37*5)/24</f>
        <v>1.0494166666666664</v>
      </c>
      <c r="V39" s="4"/>
      <c r="W39" s="4"/>
      <c r="X39" s="4"/>
      <c r="Y39" s="4"/>
      <c r="Z39" s="4"/>
      <c r="AA39" s="4"/>
      <c r="AB39" s="4"/>
      <c r="AC39" s="4"/>
    </row>
    <row r="40" spans="1:29" x14ac:dyDescent="0.25">
      <c r="O40" t="s">
        <v>284</v>
      </c>
      <c r="P40" s="20" t="s">
        <v>285</v>
      </c>
      <c r="Q40" s="20">
        <v>2</v>
      </c>
      <c r="R40" s="20">
        <v>2</v>
      </c>
      <c r="S40" s="20">
        <v>3</v>
      </c>
      <c r="T40" s="20">
        <v>4</v>
      </c>
      <c r="U40" s="20">
        <v>4</v>
      </c>
    </row>
  </sheetData>
  <mergeCells count="4">
    <mergeCell ref="A1:F1"/>
    <mergeCell ref="G1:I1"/>
    <mergeCell ref="A2:F2"/>
    <mergeCell ref="G2:J2"/>
  </mergeCells>
  <pageMargins left="0.7" right="0.7" top="0.75" bottom="0.75" header="0.3" footer="0.3"/>
  <pageSetup paperSize="9" scale="68" orientation="landscape" r:id="rId1"/>
  <colBreaks count="1" manualBreakCount="1">
    <brk id="15" max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57"/>
  <sheetViews>
    <sheetView topLeftCell="A2" zoomScale="115" zoomScaleNormal="115" workbookViewId="0">
      <pane xSplit="1" ySplit="4" topLeftCell="B6" activePane="bottomRight" state="frozen"/>
      <selection activeCell="A2" sqref="A2"/>
      <selection pane="topRight" activeCell="B2" sqref="B2"/>
      <selection pane="bottomLeft" activeCell="A6" sqref="A6"/>
      <selection pane="bottomRight" activeCell="I3" sqref="I3"/>
    </sheetView>
  </sheetViews>
  <sheetFormatPr defaultRowHeight="15" x14ac:dyDescent="0.25"/>
  <cols>
    <col min="1" max="1" width="16.7109375" customWidth="1"/>
  </cols>
  <sheetData>
    <row r="2" spans="1:6" ht="15.75" x14ac:dyDescent="0.25">
      <c r="A2" s="25" t="s">
        <v>259</v>
      </c>
      <c r="B2" s="24" t="s">
        <v>260</v>
      </c>
      <c r="C2" t="s">
        <v>261</v>
      </c>
    </row>
    <row r="3" spans="1:6" x14ac:dyDescent="0.25">
      <c r="F3" s="20"/>
    </row>
    <row r="4" spans="1:6" x14ac:dyDescent="0.25">
      <c r="A4" s="6" t="s">
        <v>5</v>
      </c>
      <c r="B4" s="18" t="s">
        <v>51</v>
      </c>
      <c r="C4" s="3" t="s">
        <v>87</v>
      </c>
      <c r="D4" s="3" t="s">
        <v>9</v>
      </c>
    </row>
    <row r="5" spans="1:6" x14ac:dyDescent="0.25">
      <c r="A5" s="6"/>
      <c r="B5" s="3" t="s">
        <v>40</v>
      </c>
      <c r="C5" s="3" t="s">
        <v>88</v>
      </c>
      <c r="D5" s="3" t="s">
        <v>31</v>
      </c>
    </row>
    <row r="6" spans="1:6" x14ac:dyDescent="0.25">
      <c r="A6" s="21" t="s">
        <v>233</v>
      </c>
      <c r="C6" s="19"/>
      <c r="D6" s="19"/>
      <c r="E6" s="19"/>
    </row>
    <row r="7" spans="1:6" x14ac:dyDescent="0.25">
      <c r="A7" s="23" t="s">
        <v>232</v>
      </c>
      <c r="B7" s="19">
        <v>1.1080000000000001</v>
      </c>
      <c r="C7" s="19">
        <v>3.0873726458783577</v>
      </c>
      <c r="D7" s="19">
        <v>92.3</v>
      </c>
      <c r="E7" s="19"/>
    </row>
    <row r="8" spans="1:6" x14ac:dyDescent="0.25">
      <c r="A8" s="23" t="s">
        <v>234</v>
      </c>
      <c r="B8" s="19">
        <v>0.75600000000000001</v>
      </c>
      <c r="C8" s="19">
        <v>3.6380145278450366</v>
      </c>
      <c r="D8" s="19">
        <v>40.9</v>
      </c>
      <c r="E8" s="19"/>
    </row>
    <row r="9" spans="1:6" s="1" customFormat="1" x14ac:dyDescent="0.25">
      <c r="A9" s="35" t="s">
        <v>265</v>
      </c>
      <c r="B9" s="19">
        <v>0.59</v>
      </c>
      <c r="C9" s="19">
        <v>3.64</v>
      </c>
      <c r="D9" s="19">
        <v>41.7</v>
      </c>
      <c r="E9" s="19"/>
    </row>
    <row r="10" spans="1:6" x14ac:dyDescent="0.25">
      <c r="A10" s="23" t="s">
        <v>235</v>
      </c>
      <c r="B10" s="19">
        <v>1.0389999999999999</v>
      </c>
      <c r="C10" s="19">
        <v>2.6338855289683583</v>
      </c>
      <c r="D10" s="19">
        <v>25.52</v>
      </c>
      <c r="E10" s="19"/>
    </row>
    <row r="11" spans="1:6" x14ac:dyDescent="0.25">
      <c r="A11" s="17" t="s">
        <v>48</v>
      </c>
      <c r="B11" s="19">
        <v>0.998</v>
      </c>
      <c r="C11" s="19">
        <v>2.6191723415400734</v>
      </c>
      <c r="D11" s="19">
        <v>79.12</v>
      </c>
      <c r="E11" s="19"/>
    </row>
    <row r="12" spans="1:6" x14ac:dyDescent="0.25">
      <c r="A12" s="17" t="s">
        <v>49</v>
      </c>
      <c r="B12" s="19">
        <v>0.86899999999999999</v>
      </c>
      <c r="C12" s="19">
        <v>2.6186937133863801</v>
      </c>
      <c r="D12" s="19">
        <v>79.12</v>
      </c>
      <c r="E12" s="19"/>
    </row>
    <row r="13" spans="1:6" x14ac:dyDescent="0.25">
      <c r="A13" s="2" t="s">
        <v>236</v>
      </c>
      <c r="B13" s="19">
        <v>1.127</v>
      </c>
      <c r="C13" s="19">
        <v>2.9680365296803655</v>
      </c>
      <c r="D13" s="19">
        <v>40.400000000000006</v>
      </c>
      <c r="E13" s="19"/>
    </row>
    <row r="14" spans="1:6" x14ac:dyDescent="0.25">
      <c r="A14" s="1" t="s">
        <v>53</v>
      </c>
      <c r="B14" s="19">
        <v>1.117</v>
      </c>
      <c r="C14" s="19">
        <v>2.9680365296803655</v>
      </c>
      <c r="D14" s="19">
        <v>40.400000000000006</v>
      </c>
      <c r="E14" s="19"/>
    </row>
    <row r="15" spans="1:6" x14ac:dyDescent="0.25">
      <c r="A15" s="1" t="s">
        <v>54</v>
      </c>
      <c r="B15" s="19">
        <v>1.123</v>
      </c>
      <c r="C15" s="19">
        <v>2.9680365296803655</v>
      </c>
      <c r="D15" s="19">
        <v>34.080000000000005</v>
      </c>
      <c r="E15" s="19"/>
    </row>
    <row r="16" spans="1:6" x14ac:dyDescent="0.25">
      <c r="A16" s="1" t="s">
        <v>55</v>
      </c>
      <c r="B16" s="19">
        <v>1.091</v>
      </c>
      <c r="C16" s="19">
        <v>3.0909090909090908</v>
      </c>
      <c r="D16" s="19">
        <v>61.760000000000005</v>
      </c>
      <c r="E16" s="19"/>
    </row>
    <row r="17" spans="1:5" x14ac:dyDescent="0.25">
      <c r="A17" s="1" t="s">
        <v>56</v>
      </c>
      <c r="B17" s="19">
        <v>1.0940000000000001</v>
      </c>
      <c r="C17" s="19">
        <v>3.0909090909090908</v>
      </c>
      <c r="D17" s="19">
        <v>45.6</v>
      </c>
      <c r="E17" s="19"/>
    </row>
    <row r="18" spans="1:5" x14ac:dyDescent="0.25">
      <c r="A18" s="1" t="s">
        <v>57</v>
      </c>
      <c r="B18" s="19">
        <v>1.08</v>
      </c>
      <c r="C18" s="19">
        <v>3.0909090909090908</v>
      </c>
      <c r="D18" s="19">
        <v>37.04</v>
      </c>
      <c r="E18" s="19"/>
    </row>
    <row r="19" spans="1:5" x14ac:dyDescent="0.25">
      <c r="A19" s="1" t="s">
        <v>58</v>
      </c>
      <c r="B19" s="19">
        <v>1.101</v>
      </c>
      <c r="C19" s="19">
        <v>3</v>
      </c>
      <c r="D19" s="19">
        <v>97.28</v>
      </c>
      <c r="E19" s="19"/>
    </row>
    <row r="20" spans="1:5" x14ac:dyDescent="0.25">
      <c r="A20" s="1" t="s">
        <v>59</v>
      </c>
      <c r="B20" s="19">
        <v>1.0620000000000001</v>
      </c>
      <c r="C20" s="19">
        <v>3</v>
      </c>
      <c r="D20" s="19">
        <v>97.28</v>
      </c>
      <c r="E20" s="19"/>
    </row>
    <row r="21" spans="1:5" x14ac:dyDescent="0.25">
      <c r="A21" s="1" t="s">
        <v>60</v>
      </c>
      <c r="B21" s="19">
        <v>1.0760000000000001</v>
      </c>
      <c r="C21" s="19">
        <v>3</v>
      </c>
      <c r="D21" s="19">
        <v>97.28</v>
      </c>
      <c r="E21" s="19"/>
    </row>
    <row r="22" spans="1:5" x14ac:dyDescent="0.25">
      <c r="A22" s="1" t="s">
        <v>61</v>
      </c>
      <c r="B22" s="19">
        <v>1.145</v>
      </c>
      <c r="C22" s="19">
        <v>3</v>
      </c>
      <c r="D22" s="19">
        <v>97.28</v>
      </c>
      <c r="E22" s="19"/>
    </row>
    <row r="23" spans="1:5" x14ac:dyDescent="0.25">
      <c r="A23" s="2" t="s">
        <v>237</v>
      </c>
      <c r="B23" s="19">
        <v>1.1339999999999999</v>
      </c>
      <c r="C23" s="19">
        <v>3.5829451809387316</v>
      </c>
      <c r="D23" s="19">
        <v>38.24</v>
      </c>
      <c r="E23" s="19"/>
    </row>
    <row r="24" spans="1:5" x14ac:dyDescent="0.25">
      <c r="A24" s="1" t="s">
        <v>65</v>
      </c>
      <c r="B24" s="19">
        <v>1.08</v>
      </c>
      <c r="C24" s="19">
        <v>3.5829451809387316</v>
      </c>
      <c r="D24" s="19">
        <v>45.360000000000007</v>
      </c>
      <c r="E24" s="19"/>
    </row>
    <row r="25" spans="1:5" x14ac:dyDescent="0.25">
      <c r="A25" s="1" t="s">
        <v>66</v>
      </c>
      <c r="B25" s="19">
        <v>1.181</v>
      </c>
      <c r="C25" s="19">
        <v>3.5198873636043646</v>
      </c>
      <c r="D25" s="19">
        <v>45.360000000000007</v>
      </c>
      <c r="E25" s="19"/>
    </row>
    <row r="26" spans="1:5" x14ac:dyDescent="0.25">
      <c r="A26" s="2" t="s">
        <v>239</v>
      </c>
      <c r="B26" s="19">
        <v>1.0529999999999999</v>
      </c>
      <c r="C26" s="19">
        <v>2.6246719160104988</v>
      </c>
      <c r="D26" s="19">
        <v>56.2</v>
      </c>
      <c r="E26" s="19"/>
    </row>
    <row r="27" spans="1:5" x14ac:dyDescent="0.25">
      <c r="A27" s="1" t="s">
        <v>74</v>
      </c>
      <c r="B27" s="19">
        <v>1.032</v>
      </c>
      <c r="C27" s="19">
        <v>2.6246719160104988</v>
      </c>
      <c r="D27" s="19">
        <v>66.75</v>
      </c>
      <c r="E27" s="19"/>
    </row>
    <row r="28" spans="1:5" x14ac:dyDescent="0.25">
      <c r="A28" s="1" t="s">
        <v>74</v>
      </c>
      <c r="B28" s="19">
        <v>0.98599999999999999</v>
      </c>
      <c r="C28" s="19">
        <v>2.6246719160104988</v>
      </c>
      <c r="D28" s="19">
        <v>107.2</v>
      </c>
      <c r="E28" s="19"/>
    </row>
    <row r="29" spans="1:5" x14ac:dyDescent="0.25">
      <c r="A29" s="1" t="s">
        <v>75</v>
      </c>
      <c r="B29" s="19">
        <v>1.1739999999999999</v>
      </c>
      <c r="C29" s="19">
        <v>2.6246719160104988</v>
      </c>
      <c r="D29" s="19">
        <v>56.2</v>
      </c>
      <c r="E29" s="19"/>
    </row>
    <row r="30" spans="1:5" x14ac:dyDescent="0.25">
      <c r="A30" s="1" t="s">
        <v>75</v>
      </c>
      <c r="B30" s="19">
        <v>1.167</v>
      </c>
      <c r="C30" s="19">
        <v>2.6246719160104988</v>
      </c>
      <c r="D30" s="19">
        <v>66.75</v>
      </c>
      <c r="E30" s="19"/>
    </row>
    <row r="31" spans="1:5" x14ac:dyDescent="0.25">
      <c r="A31" s="2" t="s">
        <v>288</v>
      </c>
      <c r="B31" s="19">
        <v>0.98159420631707095</v>
      </c>
      <c r="C31" s="19">
        <v>20</v>
      </c>
      <c r="D31" s="19">
        <v>32.08</v>
      </c>
    </row>
    <row r="32" spans="1:5" x14ac:dyDescent="0.25">
      <c r="A32" s="1">
        <v>2</v>
      </c>
      <c r="B32" s="19">
        <v>0.97832775519470694</v>
      </c>
      <c r="C32" s="19">
        <v>15.051546391752577</v>
      </c>
      <c r="D32" s="19">
        <v>34.4</v>
      </c>
    </row>
    <row r="33" spans="1:4" x14ac:dyDescent="0.25">
      <c r="A33" s="1">
        <v>3</v>
      </c>
      <c r="B33" s="19">
        <v>1.1367685974112471</v>
      </c>
      <c r="C33" s="19">
        <v>10.098510882016036</v>
      </c>
      <c r="D33" s="19">
        <v>30.240000000000002</v>
      </c>
    </row>
    <row r="34" spans="1:4" x14ac:dyDescent="0.25">
      <c r="A34" s="1">
        <v>4</v>
      </c>
      <c r="B34" s="19">
        <v>1.0157020767547671</v>
      </c>
      <c r="C34" s="19">
        <v>4.3207331042382586</v>
      </c>
      <c r="D34" s="19">
        <v>30.240000000000002</v>
      </c>
    </row>
    <row r="35" spans="1:4" x14ac:dyDescent="0.25">
      <c r="A35" s="1">
        <v>5</v>
      </c>
      <c r="B35" s="19">
        <v>1.0208983413261177</v>
      </c>
      <c r="C35" s="19">
        <v>4.3089244851258579</v>
      </c>
      <c r="D35" s="19">
        <v>30.240000000000002</v>
      </c>
    </row>
    <row r="36" spans="1:4" x14ac:dyDescent="0.25">
      <c r="A36" s="1">
        <v>6</v>
      </c>
      <c r="B36" s="19">
        <v>1.0673695704610073</v>
      </c>
      <c r="C36" s="19">
        <v>4.2941847206385404</v>
      </c>
      <c r="D36" s="19">
        <v>30.240000000000002</v>
      </c>
    </row>
    <row r="37" spans="1:4" x14ac:dyDescent="0.25">
      <c r="A37" s="1">
        <v>8.1</v>
      </c>
      <c r="B37" s="19">
        <v>1.5626382364671483</v>
      </c>
      <c r="C37" s="19">
        <v>45.452631578947368</v>
      </c>
      <c r="D37" s="19">
        <v>32.08</v>
      </c>
    </row>
    <row r="38" spans="1:4" x14ac:dyDescent="0.25">
      <c r="A38" s="1">
        <v>8.1999999999999993</v>
      </c>
      <c r="B38" s="19">
        <v>1.2094241433019504</v>
      </c>
      <c r="C38" s="19">
        <v>45.354330708661415</v>
      </c>
      <c r="D38" s="19">
        <v>32.08</v>
      </c>
    </row>
    <row r="39" spans="1:4" x14ac:dyDescent="0.25">
      <c r="A39" s="1">
        <v>8.3000000000000007</v>
      </c>
      <c r="B39" s="19">
        <v>1.0993521488665376</v>
      </c>
      <c r="C39" s="19">
        <v>45.235602094240839</v>
      </c>
      <c r="D39" s="19">
        <v>32.08</v>
      </c>
    </row>
    <row r="40" spans="1:4" x14ac:dyDescent="0.25">
      <c r="A40" s="1">
        <v>9.1</v>
      </c>
      <c r="B40" s="19">
        <v>1.0611456047033034</v>
      </c>
      <c r="C40" s="19">
        <v>29.858267716535433</v>
      </c>
      <c r="D40" s="19">
        <v>34.4</v>
      </c>
    </row>
    <row r="41" spans="1:4" x14ac:dyDescent="0.25">
      <c r="A41" s="1">
        <v>9.1999999999999993</v>
      </c>
      <c r="B41" s="19">
        <v>1.081427861872462</v>
      </c>
      <c r="C41" s="19">
        <v>29.858267716535433</v>
      </c>
      <c r="D41" s="19">
        <v>34.4</v>
      </c>
    </row>
    <row r="42" spans="1:4" x14ac:dyDescent="0.25">
      <c r="A42" s="1">
        <v>9.3000000000000007</v>
      </c>
      <c r="B42" s="19">
        <v>1.0889931350229345</v>
      </c>
      <c r="C42" s="19">
        <v>29.780104712041886</v>
      </c>
      <c r="D42" s="19">
        <v>34.4</v>
      </c>
    </row>
    <row r="43" spans="1:4" x14ac:dyDescent="0.25">
      <c r="A43" s="1">
        <v>10.1</v>
      </c>
      <c r="B43" s="19">
        <v>0.95417791571832644</v>
      </c>
      <c r="C43" s="19">
        <v>20.340314136125656</v>
      </c>
      <c r="D43" s="19">
        <v>30.240000000000002</v>
      </c>
    </row>
    <row r="44" spans="1:4" x14ac:dyDescent="0.25">
      <c r="A44" s="1">
        <v>10.199999999999999</v>
      </c>
      <c r="B44" s="19">
        <v>1.0676740029392504</v>
      </c>
      <c r="C44" s="19">
        <v>20.388451443569554</v>
      </c>
      <c r="D44" s="19">
        <v>30.240000000000002</v>
      </c>
    </row>
    <row r="45" spans="1:4" x14ac:dyDescent="0.25">
      <c r="A45" s="1">
        <v>10.3</v>
      </c>
      <c r="B45" s="19">
        <v>1.0680921950363158</v>
      </c>
      <c r="C45" s="19">
        <v>20.401574803149607</v>
      </c>
      <c r="D45" s="19">
        <v>30.240000000000002</v>
      </c>
    </row>
    <row r="46" spans="1:4" x14ac:dyDescent="0.25">
      <c r="A46" s="1">
        <v>11.1</v>
      </c>
      <c r="B46" s="19">
        <v>0.99252418610120752</v>
      </c>
      <c r="C46" s="19">
        <v>15.38219895287958</v>
      </c>
      <c r="D46" s="19">
        <v>34.4</v>
      </c>
    </row>
    <row r="47" spans="1:4" x14ac:dyDescent="0.25">
      <c r="A47" s="1">
        <v>11.2</v>
      </c>
      <c r="B47" s="19">
        <v>0.9935521144628241</v>
      </c>
      <c r="C47" s="19">
        <v>15.398950131233596</v>
      </c>
      <c r="D47" s="19">
        <v>34.4</v>
      </c>
    </row>
    <row r="48" spans="1:4" x14ac:dyDescent="0.25">
      <c r="A48" s="1">
        <v>11.3</v>
      </c>
      <c r="B48" s="19">
        <v>1.1244015971385457</v>
      </c>
      <c r="C48" s="19">
        <v>15.452631578947368</v>
      </c>
      <c r="D48" s="19">
        <v>34.4</v>
      </c>
    </row>
    <row r="49" spans="1:4" x14ac:dyDescent="0.25">
      <c r="A49" s="1">
        <v>12.1</v>
      </c>
      <c r="B49" s="19">
        <v>1.1062011464281756</v>
      </c>
      <c r="C49" s="19">
        <v>10.445026178010471</v>
      </c>
      <c r="D49" s="19">
        <v>34.4</v>
      </c>
    </row>
    <row r="50" spans="1:4" x14ac:dyDescent="0.25">
      <c r="A50" s="1">
        <v>12.2</v>
      </c>
      <c r="B50" s="19">
        <v>1.0951791215827997</v>
      </c>
      <c r="C50" s="19">
        <v>10.414698162729659</v>
      </c>
      <c r="D50" s="19">
        <v>34.4</v>
      </c>
    </row>
    <row r="51" spans="1:4" x14ac:dyDescent="0.25">
      <c r="A51" s="1">
        <v>12.3</v>
      </c>
      <c r="B51" s="19">
        <v>1.1352304125221604</v>
      </c>
      <c r="C51" s="19">
        <v>10.446194225721785</v>
      </c>
      <c r="D51" s="19">
        <v>34.4</v>
      </c>
    </row>
    <row r="52" spans="1:4" x14ac:dyDescent="0.25">
      <c r="A52" s="1">
        <v>13.1</v>
      </c>
      <c r="B52" s="19">
        <v>1.1108414572072616</v>
      </c>
      <c r="C52" s="19">
        <v>5.2913385826771657</v>
      </c>
      <c r="D52" s="19">
        <v>34.4</v>
      </c>
    </row>
    <row r="53" spans="1:4" x14ac:dyDescent="0.25">
      <c r="A53" s="1">
        <v>13.2</v>
      </c>
      <c r="B53" s="19">
        <v>1.0931590316801891</v>
      </c>
      <c r="C53" s="19">
        <v>5.2748691099476437</v>
      </c>
      <c r="D53" s="19">
        <v>34.4</v>
      </c>
    </row>
    <row r="54" spans="1:4" x14ac:dyDescent="0.25">
      <c r="A54" s="1">
        <v>13.3</v>
      </c>
      <c r="B54" s="19">
        <v>1.1575028983479443</v>
      </c>
      <c r="C54" s="19">
        <v>5.2879581151832458</v>
      </c>
      <c r="D54" s="19">
        <v>34.4</v>
      </c>
    </row>
    <row r="55" spans="1:4" x14ac:dyDescent="0.25">
      <c r="A55" s="2" t="s">
        <v>240</v>
      </c>
      <c r="B55" s="19">
        <v>1.06</v>
      </c>
      <c r="C55" s="19">
        <v>3.2</v>
      </c>
      <c r="D55" s="19">
        <v>18.400000000000002</v>
      </c>
    </row>
    <row r="56" spans="1:4" x14ac:dyDescent="0.25">
      <c r="A56" s="1" t="s">
        <v>89</v>
      </c>
      <c r="B56" s="19">
        <v>1.06</v>
      </c>
      <c r="C56" s="19">
        <v>5.333333333333333</v>
      </c>
      <c r="D56" s="19">
        <v>18.400000000000002</v>
      </c>
    </row>
    <row r="57" spans="1:4" x14ac:dyDescent="0.25">
      <c r="A57" s="1" t="s">
        <v>90</v>
      </c>
      <c r="B57" s="19">
        <v>1.2</v>
      </c>
      <c r="C57" s="19">
        <v>5.333333333333333</v>
      </c>
      <c r="D57" s="19">
        <v>18.400000000000002</v>
      </c>
    </row>
    <row r="58" spans="1:4" x14ac:dyDescent="0.25">
      <c r="A58" s="2" t="s">
        <v>91</v>
      </c>
      <c r="B58" s="19">
        <v>1.1599999999999999</v>
      </c>
      <c r="C58" s="19">
        <v>5.333333333333333</v>
      </c>
      <c r="D58" s="19">
        <v>18.400000000000002</v>
      </c>
    </row>
    <row r="59" spans="1:4" x14ac:dyDescent="0.25">
      <c r="A59" s="1" t="s">
        <v>92</v>
      </c>
      <c r="B59" s="19">
        <v>1.08</v>
      </c>
      <c r="C59" s="19">
        <v>3.2</v>
      </c>
      <c r="D59" s="19">
        <v>27.28</v>
      </c>
    </row>
    <row r="60" spans="1:4" x14ac:dyDescent="0.25">
      <c r="A60" s="1" t="s">
        <v>93</v>
      </c>
      <c r="B60" s="19">
        <v>1.24</v>
      </c>
      <c r="C60" s="19">
        <v>5.333333333333333</v>
      </c>
      <c r="D60" s="19">
        <v>28.8</v>
      </c>
    </row>
    <row r="61" spans="1:4" x14ac:dyDescent="0.25">
      <c r="A61" s="2" t="s">
        <v>241</v>
      </c>
      <c r="B61" s="19">
        <v>1.3148326364003868</v>
      </c>
      <c r="C61" s="19">
        <v>12.349490583513431</v>
      </c>
      <c r="D61" s="19">
        <v>92.3</v>
      </c>
    </row>
    <row r="62" spans="1:4" x14ac:dyDescent="0.25">
      <c r="A62" s="2" t="s">
        <v>242</v>
      </c>
      <c r="B62" s="19">
        <v>1.04</v>
      </c>
      <c r="C62" s="19">
        <v>6.5</v>
      </c>
      <c r="D62" s="19">
        <v>38.4</v>
      </c>
    </row>
    <row r="63" spans="1:4" x14ac:dyDescent="0.25">
      <c r="A63" s="1">
        <v>2</v>
      </c>
      <c r="B63" s="19">
        <v>0.89</v>
      </c>
      <c r="C63" s="19">
        <v>6.5</v>
      </c>
      <c r="D63" s="19">
        <v>38.4</v>
      </c>
    </row>
    <row r="64" spans="1:4" x14ac:dyDescent="0.25">
      <c r="A64" s="1">
        <v>3</v>
      </c>
      <c r="B64" s="19">
        <v>1.31</v>
      </c>
      <c r="C64" s="19">
        <v>21.8</v>
      </c>
      <c r="D64" s="19">
        <v>38.4</v>
      </c>
    </row>
    <row r="65" spans="1:4" x14ac:dyDescent="0.25">
      <c r="A65" s="1">
        <v>4</v>
      </c>
      <c r="B65" s="19">
        <v>1.06</v>
      </c>
      <c r="C65" s="19">
        <v>5.0999999999999996</v>
      </c>
      <c r="D65" s="19">
        <v>38.4</v>
      </c>
    </row>
    <row r="66" spans="1:4" x14ac:dyDescent="0.25">
      <c r="A66" s="1">
        <v>5</v>
      </c>
      <c r="B66" s="19">
        <v>1.1100000000000001</v>
      </c>
      <c r="C66" s="19">
        <v>5.0999999999999996</v>
      </c>
      <c r="D66" s="19">
        <v>38.4</v>
      </c>
    </row>
    <row r="67" spans="1:4" x14ac:dyDescent="0.25">
      <c r="A67" s="1">
        <v>6</v>
      </c>
      <c r="B67" s="19">
        <v>1.29</v>
      </c>
      <c r="C67" s="19">
        <v>17.100000000000001</v>
      </c>
      <c r="D67" s="19">
        <v>38.4</v>
      </c>
    </row>
    <row r="68" spans="1:4" x14ac:dyDescent="0.25">
      <c r="A68" s="2" t="s">
        <v>243</v>
      </c>
      <c r="B68" s="19">
        <v>0.84</v>
      </c>
      <c r="C68" s="19">
        <v>8.0024213075060544</v>
      </c>
      <c r="D68" s="19">
        <v>40.9</v>
      </c>
    </row>
    <row r="69" spans="1:4" x14ac:dyDescent="0.25">
      <c r="A69" s="1" t="s">
        <v>94</v>
      </c>
      <c r="B69" s="19">
        <v>0.88</v>
      </c>
      <c r="C69" s="19">
        <v>11.997578692493947</v>
      </c>
      <c r="D69" s="19">
        <v>40.9</v>
      </c>
    </row>
    <row r="70" spans="1:4" x14ac:dyDescent="0.25">
      <c r="A70" s="1" t="s">
        <v>95</v>
      </c>
      <c r="B70" s="19">
        <v>0.87</v>
      </c>
      <c r="C70" s="19">
        <v>18.002421307506054</v>
      </c>
      <c r="D70" s="19">
        <v>40.9</v>
      </c>
    </row>
    <row r="71" spans="1:4" x14ac:dyDescent="0.25">
      <c r="A71" s="1" t="s">
        <v>96</v>
      </c>
      <c r="B71" s="19">
        <v>1.05</v>
      </c>
      <c r="C71" s="19">
        <v>24.001210653753027</v>
      </c>
      <c r="D71" s="19">
        <v>40.9</v>
      </c>
    </row>
    <row r="72" spans="1:4" x14ac:dyDescent="0.25">
      <c r="A72" s="1" t="s">
        <v>97</v>
      </c>
      <c r="B72" s="19">
        <v>1.1299999999999999</v>
      </c>
      <c r="C72" s="19">
        <v>30.000000000000004</v>
      </c>
      <c r="D72" s="19">
        <v>40.9</v>
      </c>
    </row>
    <row r="73" spans="1:4" x14ac:dyDescent="0.25">
      <c r="A73" s="2" t="s">
        <v>244</v>
      </c>
      <c r="B73" s="19">
        <v>1.2448589684654647</v>
      </c>
      <c r="C73" s="19">
        <v>9</v>
      </c>
      <c r="D73" s="19">
        <v>97.3</v>
      </c>
    </row>
    <row r="74" spans="1:4" x14ac:dyDescent="0.25">
      <c r="A74" s="1" t="s">
        <v>98</v>
      </c>
      <c r="B74" s="19">
        <v>1.1455040273203336</v>
      </c>
      <c r="C74" s="19">
        <v>9</v>
      </c>
      <c r="D74" s="19">
        <v>97.3</v>
      </c>
    </row>
    <row r="75" spans="1:4" x14ac:dyDescent="0.25">
      <c r="A75" s="1" t="s">
        <v>99</v>
      </c>
      <c r="B75" s="19">
        <v>1.3385742013675379</v>
      </c>
      <c r="C75" s="19">
        <v>15</v>
      </c>
      <c r="D75" s="19">
        <v>97.3</v>
      </c>
    </row>
    <row r="76" spans="1:4" x14ac:dyDescent="0.25">
      <c r="A76" s="1" t="s">
        <v>100</v>
      </c>
      <c r="B76" s="19">
        <v>1.1216277762285876</v>
      </c>
      <c r="C76" s="19">
        <v>15</v>
      </c>
      <c r="D76" s="19">
        <v>97.3</v>
      </c>
    </row>
    <row r="77" spans="1:4" x14ac:dyDescent="0.25">
      <c r="A77" s="1" t="s">
        <v>101</v>
      </c>
      <c r="B77" s="19">
        <v>1.1844295880780291</v>
      </c>
      <c r="C77" s="19">
        <v>30</v>
      </c>
      <c r="D77" s="19">
        <v>97.3</v>
      </c>
    </row>
    <row r="78" spans="1:4" x14ac:dyDescent="0.25">
      <c r="A78" s="1" t="s">
        <v>102</v>
      </c>
      <c r="B78" s="19">
        <v>1.3057513688012994</v>
      </c>
      <c r="C78" s="19">
        <v>30</v>
      </c>
      <c r="D78" s="19">
        <v>97.3</v>
      </c>
    </row>
    <row r="79" spans="1:4" x14ac:dyDescent="0.25">
      <c r="A79" s="2" t="s">
        <v>245</v>
      </c>
      <c r="B79" s="19">
        <v>0.98636435141154932</v>
      </c>
      <c r="C79" s="19">
        <v>4.8888888888888893</v>
      </c>
      <c r="D79" s="19">
        <v>31.5</v>
      </c>
    </row>
    <row r="80" spans="1:4" x14ac:dyDescent="0.25">
      <c r="A80" s="1" t="s">
        <v>103</v>
      </c>
      <c r="B80" s="19">
        <v>1.2498970707076935</v>
      </c>
      <c r="C80" s="19">
        <v>5.2666666666666666</v>
      </c>
      <c r="D80" s="19">
        <v>31.5</v>
      </c>
    </row>
    <row r="81" spans="1:4" x14ac:dyDescent="0.25">
      <c r="A81" s="2" t="s">
        <v>246</v>
      </c>
      <c r="B81" s="19">
        <v>1.1303918452818917</v>
      </c>
      <c r="C81" s="19">
        <v>8.7070091423596008</v>
      </c>
      <c r="D81" s="19">
        <v>40.299999999999997</v>
      </c>
    </row>
    <row r="82" spans="1:4" x14ac:dyDescent="0.25">
      <c r="A82" s="1" t="s">
        <v>62</v>
      </c>
      <c r="B82" s="19">
        <v>1.0333813032279295</v>
      </c>
      <c r="C82" s="19">
        <v>13.0605137135394</v>
      </c>
      <c r="D82" s="19">
        <v>40.299999999999997</v>
      </c>
    </row>
    <row r="83" spans="1:4" x14ac:dyDescent="0.25">
      <c r="A83" s="1" t="s">
        <v>104</v>
      </c>
      <c r="B83" s="19">
        <v>1.1364184097515115</v>
      </c>
      <c r="C83" s="19">
        <v>21.767522855898999</v>
      </c>
      <c r="D83" s="19">
        <v>40.299999999999997</v>
      </c>
    </row>
    <row r="84" spans="1:4" x14ac:dyDescent="0.25">
      <c r="A84" s="1" t="s">
        <v>105</v>
      </c>
      <c r="B84" s="19">
        <v>1.0727407692926918</v>
      </c>
      <c r="C84" s="19">
        <v>7.855459544383347</v>
      </c>
      <c r="D84" s="19">
        <v>40.299999999999997</v>
      </c>
    </row>
    <row r="85" spans="1:4" x14ac:dyDescent="0.25">
      <c r="A85" s="1" t="s">
        <v>106</v>
      </c>
      <c r="B85" s="19">
        <v>1.0708181577713867</v>
      </c>
      <c r="C85" s="19">
        <v>11.783189316575021</v>
      </c>
      <c r="D85" s="19">
        <v>40.299999999999997</v>
      </c>
    </row>
    <row r="86" spans="1:4" x14ac:dyDescent="0.25">
      <c r="A86" s="1" t="s">
        <v>107</v>
      </c>
      <c r="B86" s="19">
        <v>0.98312280333971014</v>
      </c>
      <c r="C86" s="19">
        <v>15.710919088766694</v>
      </c>
      <c r="D86" s="19">
        <v>40.299999999999997</v>
      </c>
    </row>
    <row r="87" spans="1:4" x14ac:dyDescent="0.25">
      <c r="A87" s="1" t="s">
        <v>108</v>
      </c>
      <c r="B87" s="19">
        <v>1.0034561338549657</v>
      </c>
      <c r="C87" s="19">
        <v>19.638648860958366</v>
      </c>
      <c r="D87" s="19">
        <v>40.299999999999997</v>
      </c>
    </row>
    <row r="88" spans="1:4" x14ac:dyDescent="0.25">
      <c r="A88" s="1" t="s">
        <v>109</v>
      </c>
      <c r="B88" s="19">
        <v>1.0380184954324085</v>
      </c>
      <c r="C88" s="19">
        <v>7.1839080459770122</v>
      </c>
      <c r="D88" s="19">
        <v>40.299999999999997</v>
      </c>
    </row>
    <row r="89" spans="1:4" x14ac:dyDescent="0.25">
      <c r="A89" s="1" t="s">
        <v>110</v>
      </c>
      <c r="B89" s="19">
        <v>0.99461546890038743</v>
      </c>
      <c r="C89" s="19">
        <v>10.775862068965518</v>
      </c>
      <c r="D89" s="19">
        <v>40.299999999999997</v>
      </c>
    </row>
    <row r="90" spans="1:4" x14ac:dyDescent="0.25">
      <c r="A90" s="1" t="s">
        <v>111</v>
      </c>
      <c r="B90" s="19">
        <v>0.98373417517884276</v>
      </c>
      <c r="C90" s="19">
        <v>14.367816091954024</v>
      </c>
      <c r="D90" s="19">
        <v>40.299999999999997</v>
      </c>
    </row>
    <row r="91" spans="1:4" x14ac:dyDescent="0.25">
      <c r="A91" s="1" t="s">
        <v>112</v>
      </c>
      <c r="B91" s="19">
        <v>0.94829530676747065</v>
      </c>
      <c r="C91" s="19">
        <v>17.959770114942529</v>
      </c>
      <c r="D91" s="19">
        <v>40.299999999999997</v>
      </c>
    </row>
    <row r="92" spans="1:4" x14ac:dyDescent="0.25">
      <c r="A92" s="1" t="s">
        <v>113</v>
      </c>
      <c r="B92" s="19">
        <v>1.1861301406518203</v>
      </c>
      <c r="C92" s="19">
        <v>6.5616797900262469</v>
      </c>
      <c r="D92" s="19">
        <v>30.9</v>
      </c>
    </row>
    <row r="93" spans="1:4" x14ac:dyDescent="0.25">
      <c r="A93" s="1" t="s">
        <v>114</v>
      </c>
      <c r="B93" s="19">
        <v>1.0824650779110989</v>
      </c>
      <c r="C93" s="19">
        <v>9.8425196850393704</v>
      </c>
      <c r="D93" s="19">
        <v>30.9</v>
      </c>
    </row>
    <row r="94" spans="1:4" x14ac:dyDescent="0.25">
      <c r="A94" s="1" t="s">
        <v>115</v>
      </c>
      <c r="B94" s="19">
        <v>1.101324337456933</v>
      </c>
      <c r="C94" s="19">
        <v>13.123359580052494</v>
      </c>
      <c r="D94" s="19">
        <v>30.9</v>
      </c>
    </row>
    <row r="95" spans="1:4" x14ac:dyDescent="0.25">
      <c r="A95" s="1" t="s">
        <v>116</v>
      </c>
      <c r="B95" s="19">
        <v>1.0911443902219222</v>
      </c>
      <c r="C95" s="19">
        <v>16.404199475065617</v>
      </c>
      <c r="D95" s="19">
        <v>30.9</v>
      </c>
    </row>
    <row r="96" spans="1:4" x14ac:dyDescent="0.25">
      <c r="A96" s="1" t="s">
        <v>117</v>
      </c>
      <c r="B96" s="19">
        <v>1.1492243337877737</v>
      </c>
      <c r="C96" s="19">
        <v>6.0569351907934585</v>
      </c>
      <c r="D96" s="19">
        <v>30.9</v>
      </c>
    </row>
    <row r="97" spans="1:9" x14ac:dyDescent="0.25">
      <c r="A97" s="1" t="s">
        <v>118</v>
      </c>
      <c r="B97" s="19">
        <v>1.1082643047523602</v>
      </c>
      <c r="C97" s="19">
        <v>9.0854027861901887</v>
      </c>
      <c r="D97" s="19">
        <v>30.9</v>
      </c>
    </row>
    <row r="98" spans="1:9" x14ac:dyDescent="0.25">
      <c r="A98" s="1" t="s">
        <v>119</v>
      </c>
      <c r="B98" s="19">
        <v>1.0658637130729405</v>
      </c>
      <c r="C98" s="19">
        <v>12.113870381586917</v>
      </c>
      <c r="D98" s="19">
        <v>30.9</v>
      </c>
    </row>
    <row r="99" spans="1:9" x14ac:dyDescent="0.25">
      <c r="A99" s="1" t="s">
        <v>120</v>
      </c>
      <c r="B99" s="19">
        <v>1.1459674481329774</v>
      </c>
      <c r="C99" s="19">
        <v>15.142337976983647</v>
      </c>
      <c r="D99" s="19">
        <v>30.9</v>
      </c>
    </row>
    <row r="100" spans="1:9" x14ac:dyDescent="0.25">
      <c r="A100" s="1" t="s">
        <v>121</v>
      </c>
      <c r="B100" s="19">
        <v>1.1658885829216086</v>
      </c>
      <c r="C100" s="19">
        <v>5.1626226122870422</v>
      </c>
      <c r="D100" s="19">
        <v>30.9</v>
      </c>
    </row>
    <row r="101" spans="1:9" x14ac:dyDescent="0.25">
      <c r="A101" s="1" t="s">
        <v>122</v>
      </c>
      <c r="B101" s="19">
        <v>1.0984331877873914</v>
      </c>
      <c r="C101" s="19">
        <v>7.7439339184305629</v>
      </c>
      <c r="D101" s="19">
        <v>30.9</v>
      </c>
    </row>
    <row r="102" spans="1:9" x14ac:dyDescent="0.25">
      <c r="A102" s="1" t="s">
        <v>123</v>
      </c>
      <c r="B102" s="19">
        <v>1.1546618526455557</v>
      </c>
      <c r="C102" s="19">
        <v>10.325245224574084</v>
      </c>
      <c r="D102" s="19">
        <v>30.9</v>
      </c>
    </row>
    <row r="103" spans="1:9" x14ac:dyDescent="0.25">
      <c r="A103" s="1" t="s">
        <v>124</v>
      </c>
      <c r="B103" s="19">
        <v>1.0871301766413715</v>
      </c>
      <c r="C103" s="19">
        <v>12.906556530717605</v>
      </c>
      <c r="D103" s="19">
        <v>30.9</v>
      </c>
    </row>
    <row r="104" spans="1:9" x14ac:dyDescent="0.25">
      <c r="A104" s="2" t="s">
        <v>247</v>
      </c>
      <c r="B104" s="19">
        <v>1.1650872612711483</v>
      </c>
      <c r="C104" s="19">
        <v>4.5</v>
      </c>
      <c r="D104" s="19">
        <v>42.1</v>
      </c>
    </row>
    <row r="105" spans="1:9" x14ac:dyDescent="0.25">
      <c r="A105" s="1" t="s">
        <v>125</v>
      </c>
      <c r="B105" s="19">
        <v>1.2653642650236114</v>
      </c>
      <c r="C105" s="19">
        <v>6</v>
      </c>
      <c r="D105" s="19">
        <v>42.1</v>
      </c>
    </row>
    <row r="106" spans="1:9" x14ac:dyDescent="0.25">
      <c r="A106" s="2" t="s">
        <v>238</v>
      </c>
      <c r="B106" s="19">
        <v>1.0235458954062435</v>
      </c>
      <c r="C106" s="19">
        <v>5.2486550321480125</v>
      </c>
      <c r="D106" s="19">
        <v>145</v>
      </c>
    </row>
    <row r="107" spans="1:9" x14ac:dyDescent="0.25">
      <c r="A107" s="1" t="s">
        <v>67</v>
      </c>
      <c r="B107" s="19">
        <v>1.0402503487879915</v>
      </c>
      <c r="C107" s="19">
        <v>5.2548607461902259</v>
      </c>
      <c r="D107" s="19">
        <v>145</v>
      </c>
    </row>
    <row r="108" spans="1:9" x14ac:dyDescent="0.25">
      <c r="A108" s="1" t="s">
        <v>68</v>
      </c>
      <c r="B108" s="19">
        <v>1.0588138871126673</v>
      </c>
      <c r="C108" s="19">
        <v>5.2555511759295754</v>
      </c>
      <c r="D108" s="19">
        <v>145</v>
      </c>
    </row>
    <row r="109" spans="1:9" x14ac:dyDescent="0.25">
      <c r="A109" s="1" t="s">
        <v>69</v>
      </c>
      <c r="B109" s="19">
        <v>1.0741549783789006</v>
      </c>
      <c r="C109" s="19">
        <v>5.2500328127050793</v>
      </c>
      <c r="D109" s="19">
        <v>145</v>
      </c>
    </row>
    <row r="110" spans="1:9" x14ac:dyDescent="0.25">
      <c r="A110" s="1" t="s">
        <v>70</v>
      </c>
      <c r="B110" s="19">
        <v>1.0720087240328635</v>
      </c>
      <c r="C110" s="19">
        <v>5.2742616033755274</v>
      </c>
      <c r="D110" s="19">
        <v>145</v>
      </c>
    </row>
    <row r="111" spans="1:9" x14ac:dyDescent="0.25">
      <c r="A111" s="1" t="s">
        <v>71</v>
      </c>
      <c r="B111" s="19">
        <v>1.0756334985635549</v>
      </c>
      <c r="C111" s="19">
        <v>5.2652362774779515</v>
      </c>
      <c r="D111" s="19">
        <v>145</v>
      </c>
    </row>
    <row r="112" spans="1:9" x14ac:dyDescent="0.25">
      <c r="A112" s="1" t="s">
        <v>72</v>
      </c>
      <c r="B112" s="19">
        <v>1.0751893603355056</v>
      </c>
      <c r="C112" s="19">
        <v>5.2507219742714621</v>
      </c>
      <c r="D112" s="19">
        <v>145</v>
      </c>
      <c r="E112">
        <f t="array" ref="E112">COUNT(IF(C7:C116 &lt; 4,IF(D7:D116 &gt;75, B7:B116)))</f>
        <v>8</v>
      </c>
      <c r="F112" t="s">
        <v>273</v>
      </c>
      <c r="G112" t="s">
        <v>274</v>
      </c>
      <c r="H112" t="s">
        <v>276</v>
      </c>
      <c r="I112" s="16">
        <f t="array" ref="I112">AVERAGE(IF(C7:C116 &lt; 4,IF(D7:D116 &gt; 75,B7:B116)))</f>
        <v>1.0431250000000001</v>
      </c>
    </row>
    <row r="113" spans="1:9" x14ac:dyDescent="0.25">
      <c r="A113" s="2" t="s">
        <v>248</v>
      </c>
      <c r="B113" s="19">
        <v>0.90075932558039318</v>
      </c>
      <c r="C113" s="19">
        <v>13.427672955974844</v>
      </c>
      <c r="D113" s="19">
        <v>37.700000000000003</v>
      </c>
      <c r="E113">
        <f t="array" ref="E113">COUNT(IF(C7:C116 &gt;= 4, IF(D7:D116 &gt; 75, B7:B116)))</f>
        <v>16</v>
      </c>
      <c r="F113" t="s">
        <v>275</v>
      </c>
      <c r="G113" t="s">
        <v>274</v>
      </c>
      <c r="H113" t="s">
        <v>276</v>
      </c>
      <c r="I113" s="16">
        <f t="array" ref="I113">AVERAGE(IF(C7:C116 &gt;= 4,IF(D7:D116 &gt; 75, B7:B116)))</f>
        <v>1.1228234537049602</v>
      </c>
    </row>
    <row r="114" spans="1:9" x14ac:dyDescent="0.25">
      <c r="A114" s="1">
        <v>13</v>
      </c>
      <c r="B114" s="19">
        <v>1.06</v>
      </c>
      <c r="C114" s="19">
        <v>13.427672955974844</v>
      </c>
      <c r="D114" s="19">
        <v>75.7</v>
      </c>
      <c r="E114">
        <f>COUNTIF(D7:D116, "&gt;=100")</f>
        <v>9</v>
      </c>
      <c r="F114" s="20" t="s">
        <v>282</v>
      </c>
      <c r="G114" s="1" t="s">
        <v>281</v>
      </c>
      <c r="H114" s="1" t="s">
        <v>276</v>
      </c>
      <c r="I114" s="16">
        <f t="array" ref="I114">AVERAGE(IF(D7:D116 &gt;=100,B7:B116))</f>
        <v>1.0261774102908587</v>
      </c>
    </row>
    <row r="115" spans="1:9" x14ac:dyDescent="0.25">
      <c r="A115" s="1">
        <v>14</v>
      </c>
      <c r="B115" s="19">
        <v>0.83</v>
      </c>
      <c r="C115" s="19">
        <v>13.427672955974844</v>
      </c>
      <c r="D115" s="19">
        <v>120.1</v>
      </c>
    </row>
    <row r="116" spans="1:9" s="1" customFormat="1" x14ac:dyDescent="0.25">
      <c r="A116" s="1" t="s">
        <v>289</v>
      </c>
      <c r="B116" s="19">
        <v>1.21</v>
      </c>
      <c r="C116" s="19">
        <v>5.2</v>
      </c>
      <c r="D116" s="19">
        <v>45.8</v>
      </c>
      <c r="E116" s="1">
        <f>COUNT(B7:B116)</f>
        <v>110</v>
      </c>
      <c r="F116" s="20" t="s">
        <v>290</v>
      </c>
      <c r="H116" s="1" t="s">
        <v>276</v>
      </c>
      <c r="I116" s="16">
        <f>AVERAGE(B7:B116)</f>
        <v>1.0839028700447364</v>
      </c>
    </row>
    <row r="117" spans="1:9" x14ac:dyDescent="0.25">
      <c r="A117" s="3" t="s">
        <v>231</v>
      </c>
      <c r="B117" s="16"/>
      <c r="C117" s="19"/>
      <c r="D117" s="19"/>
    </row>
    <row r="118" spans="1:9" x14ac:dyDescent="0.25">
      <c r="A118" t="s">
        <v>230</v>
      </c>
      <c r="B118" s="19">
        <v>0.83498959311202969</v>
      </c>
      <c r="C118" s="19">
        <v>5.95</v>
      </c>
      <c r="D118" s="19">
        <v>46.64</v>
      </c>
    </row>
    <row r="119" spans="1:9" x14ac:dyDescent="0.25">
      <c r="A119" t="s">
        <v>126</v>
      </c>
      <c r="B119" s="19">
        <v>0.91725904218741761</v>
      </c>
      <c r="C119" s="19">
        <v>11.7</v>
      </c>
      <c r="D119" s="19">
        <v>46.64</v>
      </c>
    </row>
    <row r="120" spans="1:9" x14ac:dyDescent="0.25">
      <c r="A120" t="s">
        <v>249</v>
      </c>
      <c r="B120" s="19">
        <v>0.97785268845547213</v>
      </c>
      <c r="C120" s="19">
        <v>7.390146471371505</v>
      </c>
      <c r="D120" s="19">
        <v>75.28</v>
      </c>
    </row>
    <row r="121" spans="1:9" x14ac:dyDescent="0.25">
      <c r="A121" t="s">
        <v>127</v>
      </c>
      <c r="B121" s="19">
        <v>1.0166713205801823</v>
      </c>
      <c r="C121" s="19">
        <v>14.715719063545151</v>
      </c>
      <c r="D121" s="19">
        <v>75.28</v>
      </c>
    </row>
    <row r="122" spans="1:9" x14ac:dyDescent="0.25">
      <c r="A122" t="s">
        <v>128</v>
      </c>
      <c r="B122" s="19">
        <v>1.0174769558206009</v>
      </c>
      <c r="C122" s="19">
        <v>20.868102288021536</v>
      </c>
      <c r="D122" s="19">
        <v>75.28</v>
      </c>
    </row>
    <row r="123" spans="1:9" x14ac:dyDescent="0.25">
      <c r="A123" t="s">
        <v>129</v>
      </c>
      <c r="B123" s="19">
        <v>0.96481008166374838</v>
      </c>
      <c r="C123" s="19">
        <v>7.1664464993394974</v>
      </c>
      <c r="D123" s="19">
        <v>75.28</v>
      </c>
    </row>
    <row r="124" spans="1:9" x14ac:dyDescent="0.25">
      <c r="A124" t="s">
        <v>130</v>
      </c>
      <c r="B124" s="19">
        <v>1.0146724610920443</v>
      </c>
      <c r="C124" s="19">
        <v>14.673333333333334</v>
      </c>
      <c r="D124" s="19">
        <v>75.28</v>
      </c>
    </row>
    <row r="125" spans="1:9" x14ac:dyDescent="0.25">
      <c r="A125" t="s">
        <v>131</v>
      </c>
      <c r="B125" s="19">
        <v>0.8513232639744428</v>
      </c>
      <c r="C125" s="19">
        <v>20.570670205706705</v>
      </c>
      <c r="D125" s="19">
        <v>75.28</v>
      </c>
    </row>
    <row r="126" spans="1:9" x14ac:dyDescent="0.25">
      <c r="A126" t="s">
        <v>132</v>
      </c>
      <c r="B126" s="19">
        <v>0.95083090387945446</v>
      </c>
      <c r="C126" s="19">
        <v>7.361008154188287</v>
      </c>
      <c r="D126" s="19">
        <v>75.28</v>
      </c>
    </row>
    <row r="127" spans="1:9" x14ac:dyDescent="0.25">
      <c r="A127" t="s">
        <v>133</v>
      </c>
      <c r="B127" s="19">
        <v>1.0300704799382059</v>
      </c>
      <c r="C127" s="19">
        <v>14.526779163609683</v>
      </c>
      <c r="D127" s="19">
        <v>75.28</v>
      </c>
    </row>
    <row r="128" spans="1:9" x14ac:dyDescent="0.25">
      <c r="A128" t="s">
        <v>134</v>
      </c>
      <c r="B128" s="19">
        <v>0.99580797630716911</v>
      </c>
      <c r="C128" s="19">
        <v>7.3916532905296952</v>
      </c>
      <c r="D128" s="19">
        <v>75.28</v>
      </c>
    </row>
    <row r="129" spans="1:4" x14ac:dyDescent="0.25">
      <c r="A129" t="s">
        <v>135</v>
      </c>
      <c r="B129" s="19">
        <v>0.99020061145197991</v>
      </c>
      <c r="C129" s="19">
        <v>14.527402700555996</v>
      </c>
      <c r="D129" s="19">
        <v>75.28</v>
      </c>
    </row>
    <row r="130" spans="1:4" x14ac:dyDescent="0.25">
      <c r="A130" t="s">
        <v>250</v>
      </c>
      <c r="B130" s="19">
        <v>0.8475015022016702</v>
      </c>
      <c r="C130" s="19">
        <v>3</v>
      </c>
      <c r="D130" s="19">
        <v>97.28</v>
      </c>
    </row>
    <row r="131" spans="1:4" x14ac:dyDescent="0.25">
      <c r="A131" t="s">
        <v>136</v>
      </c>
      <c r="B131" s="19">
        <v>0.85521243398348845</v>
      </c>
      <c r="C131" s="19">
        <v>3</v>
      </c>
      <c r="D131" s="19">
        <v>97.28</v>
      </c>
    </row>
    <row r="132" spans="1:4" x14ac:dyDescent="0.25">
      <c r="A132" t="s">
        <v>137</v>
      </c>
      <c r="B132" s="19">
        <v>0.83418262003307486</v>
      </c>
      <c r="C132" s="19">
        <v>3</v>
      </c>
      <c r="D132" s="19">
        <v>97.28</v>
      </c>
    </row>
    <row r="133" spans="1:4" x14ac:dyDescent="0.25">
      <c r="A133" t="s">
        <v>138</v>
      </c>
      <c r="B133" s="19">
        <v>0.85521243398348845</v>
      </c>
      <c r="C133" s="19">
        <v>3</v>
      </c>
      <c r="D133" s="19">
        <v>97.28</v>
      </c>
    </row>
    <row r="134" spans="1:4" x14ac:dyDescent="0.25">
      <c r="A134" t="s">
        <v>139</v>
      </c>
      <c r="B134" s="19">
        <v>0.77207461278325928</v>
      </c>
      <c r="C134" s="19">
        <v>9</v>
      </c>
      <c r="D134" s="19">
        <v>97.28</v>
      </c>
    </row>
    <row r="135" spans="1:4" x14ac:dyDescent="0.25">
      <c r="A135" t="s">
        <v>140</v>
      </c>
      <c r="B135" s="19">
        <v>0.7697881134364184</v>
      </c>
      <c r="C135" s="19">
        <v>9</v>
      </c>
      <c r="D135" s="19">
        <v>97.28</v>
      </c>
    </row>
    <row r="136" spans="1:4" x14ac:dyDescent="0.25">
      <c r="A136" t="s">
        <v>141</v>
      </c>
      <c r="B136" s="19">
        <v>0.84247402900412183</v>
      </c>
      <c r="C136" s="19">
        <v>15</v>
      </c>
      <c r="D136" s="19">
        <v>97.28</v>
      </c>
    </row>
    <row r="137" spans="1:4" x14ac:dyDescent="0.25">
      <c r="A137" t="s">
        <v>142</v>
      </c>
      <c r="B137" s="19">
        <v>0.87009612831573235</v>
      </c>
      <c r="C137" s="19">
        <v>15</v>
      </c>
      <c r="D137" s="19">
        <v>97.28</v>
      </c>
    </row>
    <row r="138" spans="1:4" x14ac:dyDescent="0.25">
      <c r="A138" t="s">
        <v>143</v>
      </c>
      <c r="B138" s="19">
        <v>1.1268432212303032</v>
      </c>
      <c r="C138" s="19">
        <v>30</v>
      </c>
      <c r="D138" s="19">
        <v>97.28</v>
      </c>
    </row>
    <row r="139" spans="1:4" x14ac:dyDescent="0.25">
      <c r="A139" t="s">
        <v>144</v>
      </c>
      <c r="B139" s="19">
        <v>1.1078247702390744</v>
      </c>
      <c r="C139" s="19">
        <v>30</v>
      </c>
      <c r="D139" s="19">
        <v>97.28</v>
      </c>
    </row>
    <row r="140" spans="1:4" x14ac:dyDescent="0.25">
      <c r="A140" t="s">
        <v>251</v>
      </c>
      <c r="B140" s="19">
        <v>0.91163009081663771</v>
      </c>
      <c r="C140" s="19">
        <v>4.5</v>
      </c>
      <c r="D140" s="19">
        <v>42.080000000000005</v>
      </c>
    </row>
    <row r="141" spans="1:4" x14ac:dyDescent="0.25">
      <c r="A141" t="s">
        <v>145</v>
      </c>
      <c r="B141" s="19">
        <v>0.97362208234546388</v>
      </c>
      <c r="C141" s="19">
        <v>6</v>
      </c>
      <c r="D141" s="19">
        <v>42.080000000000005</v>
      </c>
    </row>
    <row r="142" spans="1:4" x14ac:dyDescent="0.25">
      <c r="A142" t="s">
        <v>252</v>
      </c>
      <c r="B142" s="19">
        <v>0.88193968068226591</v>
      </c>
      <c r="C142" s="19">
        <v>3.0048076923076925</v>
      </c>
      <c r="D142" s="19">
        <v>32.32</v>
      </c>
    </row>
    <row r="143" spans="1:4" x14ac:dyDescent="0.25">
      <c r="A143" t="s">
        <v>146</v>
      </c>
      <c r="B143" s="19">
        <v>0.78707014396498165</v>
      </c>
      <c r="C143" s="19">
        <v>2.9880478087649402</v>
      </c>
      <c r="D143" s="19">
        <v>32.32</v>
      </c>
    </row>
    <row r="144" spans="1:4" x14ac:dyDescent="0.25">
      <c r="A144" t="s">
        <v>147</v>
      </c>
      <c r="B144" s="19">
        <v>0.74462964831605571</v>
      </c>
      <c r="C144" s="19">
        <v>2.9868578255675029</v>
      </c>
      <c r="D144" s="19">
        <v>32.32</v>
      </c>
    </row>
    <row r="145" spans="1:4" x14ac:dyDescent="0.25">
      <c r="A145" t="s">
        <v>253</v>
      </c>
      <c r="B145" s="19">
        <v>1.3851454048029184</v>
      </c>
      <c r="C145" s="19">
        <v>3</v>
      </c>
      <c r="D145" s="19">
        <v>21</v>
      </c>
    </row>
    <row r="146" spans="1:4" x14ac:dyDescent="0.25">
      <c r="A146" t="s">
        <v>148</v>
      </c>
      <c r="B146" s="19">
        <v>1.2876165113182423</v>
      </c>
      <c r="C146" s="19">
        <v>3</v>
      </c>
      <c r="D146" s="19">
        <v>21</v>
      </c>
    </row>
    <row r="147" spans="1:4" x14ac:dyDescent="0.25">
      <c r="A147" t="s">
        <v>149</v>
      </c>
      <c r="B147" s="19">
        <v>1.1978827880874945</v>
      </c>
      <c r="C147" s="19">
        <v>3</v>
      </c>
      <c r="D147" s="19">
        <v>21</v>
      </c>
    </row>
    <row r="148" spans="1:4" x14ac:dyDescent="0.25">
      <c r="A148" t="s">
        <v>150</v>
      </c>
      <c r="B148" s="19">
        <v>1.1568827981182246</v>
      </c>
      <c r="C148" s="19">
        <v>3</v>
      </c>
      <c r="D148" s="19">
        <v>21</v>
      </c>
    </row>
    <row r="149" spans="1:4" x14ac:dyDescent="0.25">
      <c r="A149" t="s">
        <v>151</v>
      </c>
      <c r="B149" s="19">
        <v>1.092162014773685</v>
      </c>
      <c r="C149" s="19">
        <v>3</v>
      </c>
      <c r="D149" s="19">
        <v>54.5</v>
      </c>
    </row>
    <row r="150" spans="1:4" x14ac:dyDescent="0.25">
      <c r="A150" t="s">
        <v>152</v>
      </c>
      <c r="B150" s="19">
        <v>1.1075306132566556</v>
      </c>
      <c r="C150" s="19">
        <v>3</v>
      </c>
      <c r="D150" s="19">
        <v>54.5</v>
      </c>
    </row>
    <row r="151" spans="1:4" x14ac:dyDescent="0.25">
      <c r="A151" t="s">
        <v>153</v>
      </c>
      <c r="B151" s="19">
        <v>1.0455797423367392</v>
      </c>
      <c r="C151" s="19">
        <v>3</v>
      </c>
      <c r="D151" s="19">
        <v>54.5</v>
      </c>
    </row>
    <row r="152" spans="1:4" x14ac:dyDescent="0.25">
      <c r="A152" t="s">
        <v>154</v>
      </c>
      <c r="B152" s="19">
        <v>1.0093291870279875</v>
      </c>
      <c r="C152" s="19">
        <v>3</v>
      </c>
      <c r="D152" s="19">
        <v>54.5</v>
      </c>
    </row>
    <row r="153" spans="1:4" x14ac:dyDescent="0.25">
      <c r="A153" t="s">
        <v>155</v>
      </c>
      <c r="B153" s="19">
        <v>0.84077120129432381</v>
      </c>
      <c r="C153" s="19">
        <v>3</v>
      </c>
      <c r="D153" s="19">
        <v>54.5</v>
      </c>
    </row>
    <row r="154" spans="1:4" x14ac:dyDescent="0.25">
      <c r="A154" t="s">
        <v>156</v>
      </c>
      <c r="B154" s="19">
        <v>0.87447755157071594</v>
      </c>
      <c r="C154" s="19">
        <v>3</v>
      </c>
      <c r="D154" s="19">
        <v>54.5</v>
      </c>
    </row>
    <row r="155" spans="1:4" x14ac:dyDescent="0.25">
      <c r="A155" t="s">
        <v>157</v>
      </c>
      <c r="B155" s="19">
        <v>0.96362214692631343</v>
      </c>
      <c r="C155" s="19">
        <v>3.1666666666666665</v>
      </c>
      <c r="D155" s="19">
        <v>54.5</v>
      </c>
    </row>
    <row r="156" spans="1:4" x14ac:dyDescent="0.25">
      <c r="A156" t="s">
        <v>158</v>
      </c>
      <c r="B156" s="19">
        <v>0.95716821188765189</v>
      </c>
      <c r="C156" s="19">
        <v>3.1666666666666665</v>
      </c>
      <c r="D156" s="19">
        <v>54.5</v>
      </c>
    </row>
    <row r="157" spans="1:4" x14ac:dyDescent="0.25">
      <c r="A157" t="s">
        <v>254</v>
      </c>
      <c r="B157" s="19">
        <v>1.039929375373448</v>
      </c>
      <c r="C157" s="19">
        <v>6.0099009900990099</v>
      </c>
      <c r="D157" s="19">
        <v>34.56</v>
      </c>
    </row>
    <row r="158" spans="1:4" x14ac:dyDescent="0.25">
      <c r="A158" t="s">
        <v>159</v>
      </c>
      <c r="B158" s="19">
        <v>1.0054475724416583</v>
      </c>
      <c r="C158" s="19">
        <v>0.58823529411764708</v>
      </c>
      <c r="D158" s="19">
        <v>44.24</v>
      </c>
    </row>
    <row r="159" spans="1:4" x14ac:dyDescent="0.25">
      <c r="A159" t="s">
        <v>160</v>
      </c>
      <c r="B159" s="19">
        <v>1.0841409537430331</v>
      </c>
      <c r="C159" s="19">
        <v>4.5462184873949578</v>
      </c>
      <c r="D159" s="19">
        <v>34.56</v>
      </c>
    </row>
    <row r="160" spans="1:4" x14ac:dyDescent="0.25">
      <c r="A160" t="s">
        <v>161</v>
      </c>
      <c r="B160" s="19">
        <v>1.0279268875942165</v>
      </c>
      <c r="C160" s="19">
        <v>4.4344262295081966</v>
      </c>
      <c r="D160" s="19">
        <v>44.24</v>
      </c>
    </row>
    <row r="161" spans="1:4" x14ac:dyDescent="0.25">
      <c r="A161" t="s">
        <v>162</v>
      </c>
      <c r="B161" s="19">
        <v>1.143647787164904</v>
      </c>
      <c r="C161" s="19">
        <v>3.02</v>
      </c>
      <c r="D161" s="19">
        <v>34.56</v>
      </c>
    </row>
    <row r="162" spans="1:4" x14ac:dyDescent="0.25">
      <c r="A162" t="s">
        <v>163</v>
      </c>
      <c r="B162" s="19">
        <v>1.081107087053826</v>
      </c>
      <c r="C162" s="19">
        <v>3.0066666666666668</v>
      </c>
      <c r="D162" s="19">
        <v>44.24</v>
      </c>
    </row>
    <row r="163" spans="1:4" x14ac:dyDescent="0.25">
      <c r="A163" t="s">
        <v>255</v>
      </c>
      <c r="B163" s="19">
        <v>1.195674882903526</v>
      </c>
      <c r="C163" s="19">
        <v>3.61</v>
      </c>
      <c r="D163" s="19">
        <v>34.56</v>
      </c>
    </row>
    <row r="164" spans="1:4" x14ac:dyDescent="0.25">
      <c r="A164" t="s">
        <v>164</v>
      </c>
      <c r="B164" s="19">
        <v>1.1961263896614334</v>
      </c>
      <c r="C164" s="19">
        <v>3.6</v>
      </c>
      <c r="D164" s="19">
        <v>44.24</v>
      </c>
    </row>
    <row r="165" spans="1:4" x14ac:dyDescent="0.25">
      <c r="A165" t="s">
        <v>165</v>
      </c>
      <c r="B165" s="19">
        <v>0.98682991520182983</v>
      </c>
      <c r="C165" s="19">
        <v>4.4628099173553721</v>
      </c>
      <c r="D165" s="19">
        <v>34.56</v>
      </c>
    </row>
    <row r="166" spans="1:4" x14ac:dyDescent="0.25">
      <c r="A166" t="s">
        <v>166</v>
      </c>
      <c r="B166" s="19">
        <v>0.986270339790984</v>
      </c>
      <c r="C166" s="19">
        <v>4.4262295081967213</v>
      </c>
      <c r="D166" s="19">
        <v>44.24</v>
      </c>
    </row>
    <row r="167" spans="1:4" x14ac:dyDescent="0.25">
      <c r="A167" t="s">
        <v>167</v>
      </c>
      <c r="B167" s="19">
        <v>1.4479475695374522</v>
      </c>
      <c r="C167" s="19">
        <v>3.5242718446601944</v>
      </c>
      <c r="D167" s="19">
        <v>34.56</v>
      </c>
    </row>
    <row r="168" spans="1:4" x14ac:dyDescent="0.25">
      <c r="A168" t="s">
        <v>168</v>
      </c>
      <c r="B168" s="19">
        <v>1.4887963516206053</v>
      </c>
      <c r="C168" s="19">
        <v>3.5445544554455446</v>
      </c>
      <c r="D168" s="19">
        <v>44.24</v>
      </c>
    </row>
    <row r="169" spans="1:4" x14ac:dyDescent="0.25">
      <c r="A169" t="s">
        <v>169</v>
      </c>
      <c r="B169" s="19">
        <v>1.2169766163285427</v>
      </c>
      <c r="C169" s="19">
        <v>4.5546218487394956</v>
      </c>
      <c r="D169" s="19">
        <v>34.56</v>
      </c>
    </row>
    <row r="170" spans="1:4" x14ac:dyDescent="0.25">
      <c r="A170" t="s">
        <v>170</v>
      </c>
      <c r="B170" s="19">
        <v>1.1230163059063751</v>
      </c>
      <c r="C170" s="19">
        <v>4.541666666666667</v>
      </c>
      <c r="D170" s="19">
        <v>44.24</v>
      </c>
    </row>
    <row r="171" spans="1:4" x14ac:dyDescent="0.25">
      <c r="A171" t="s">
        <v>246</v>
      </c>
      <c r="B171" s="19">
        <v>0.94110472376171472</v>
      </c>
      <c r="C171" s="19">
        <v>9.8425196850393704</v>
      </c>
      <c r="D171" s="19">
        <v>25</v>
      </c>
    </row>
    <row r="172" spans="1:4" x14ac:dyDescent="0.25">
      <c r="A172" t="s">
        <v>62</v>
      </c>
      <c r="B172" s="19">
        <v>0.96787697877522005</v>
      </c>
      <c r="C172" s="19">
        <v>14.763779527559056</v>
      </c>
      <c r="D172" s="19">
        <v>25</v>
      </c>
    </row>
    <row r="173" spans="1:4" x14ac:dyDescent="0.25">
      <c r="A173" t="s">
        <v>171</v>
      </c>
      <c r="B173" s="19">
        <v>0.92074811649184529</v>
      </c>
      <c r="C173" s="19">
        <v>19.685039370078741</v>
      </c>
      <c r="D173" s="19">
        <v>25</v>
      </c>
    </row>
    <row r="174" spans="1:4" x14ac:dyDescent="0.25">
      <c r="A174" t="s">
        <v>104</v>
      </c>
      <c r="B174" s="19">
        <v>0.87678174520350582</v>
      </c>
      <c r="C174" s="19">
        <v>24.606299212598426</v>
      </c>
      <c r="D174" s="19">
        <v>25</v>
      </c>
    </row>
    <row r="175" spans="1:4" x14ac:dyDescent="0.25">
      <c r="A175" t="s">
        <v>105</v>
      </c>
      <c r="B175" s="19">
        <v>1.228064258704199</v>
      </c>
      <c r="C175" s="19">
        <v>8.3333333333333339</v>
      </c>
      <c r="D175" s="19">
        <v>25</v>
      </c>
    </row>
    <row r="176" spans="1:4" x14ac:dyDescent="0.25">
      <c r="A176" t="s">
        <v>106</v>
      </c>
      <c r="B176" s="19">
        <v>1.0985319442541244</v>
      </c>
      <c r="C176" s="19">
        <v>12.5</v>
      </c>
      <c r="D176" s="19">
        <v>25</v>
      </c>
    </row>
    <row r="177" spans="1:4" x14ac:dyDescent="0.25">
      <c r="A177" t="s">
        <v>107</v>
      </c>
      <c r="B177" s="19">
        <v>1.05230422311384</v>
      </c>
      <c r="C177" s="19">
        <v>16.666666666666668</v>
      </c>
      <c r="D177" s="19">
        <v>25</v>
      </c>
    </row>
    <row r="178" spans="1:4" x14ac:dyDescent="0.25">
      <c r="A178" t="s">
        <v>108</v>
      </c>
      <c r="B178" s="19">
        <v>0.93284777441089395</v>
      </c>
      <c r="C178" s="19">
        <v>20.833333333333332</v>
      </c>
      <c r="D178" s="19">
        <v>25</v>
      </c>
    </row>
    <row r="179" spans="1:4" x14ac:dyDescent="0.25">
      <c r="A179" t="s">
        <v>109</v>
      </c>
      <c r="B179" s="19">
        <v>1.1433443647858197</v>
      </c>
      <c r="C179" s="19">
        <v>6.666666666666667</v>
      </c>
      <c r="D179" s="19">
        <v>25</v>
      </c>
    </row>
    <row r="180" spans="1:4" x14ac:dyDescent="0.25">
      <c r="A180" t="s">
        <v>110</v>
      </c>
      <c r="B180" s="19">
        <v>1.0345367541854751</v>
      </c>
      <c r="C180" s="19">
        <v>10</v>
      </c>
      <c r="D180" s="19">
        <v>25</v>
      </c>
    </row>
    <row r="181" spans="1:4" x14ac:dyDescent="0.25">
      <c r="A181" t="s">
        <v>111</v>
      </c>
      <c r="B181" s="19">
        <v>1.0563491655581598</v>
      </c>
      <c r="C181" s="19">
        <v>13.333333333333334</v>
      </c>
      <c r="D181" s="19">
        <v>25</v>
      </c>
    </row>
    <row r="182" spans="1:4" x14ac:dyDescent="0.25">
      <c r="A182" t="s">
        <v>112</v>
      </c>
      <c r="B182" s="19">
        <v>1.0177694991396591</v>
      </c>
      <c r="C182" s="19">
        <v>16.666666666666668</v>
      </c>
      <c r="D182" s="19">
        <v>25</v>
      </c>
    </row>
    <row r="183" spans="1:4" x14ac:dyDescent="0.25">
      <c r="A183" t="s">
        <v>113</v>
      </c>
      <c r="B183" s="19">
        <v>1.0281305704136359</v>
      </c>
      <c r="C183" s="19">
        <v>45</v>
      </c>
      <c r="D183" s="19">
        <v>28.8</v>
      </c>
    </row>
    <row r="184" spans="1:4" x14ac:dyDescent="0.25">
      <c r="A184" t="s">
        <v>114</v>
      </c>
      <c r="B184" s="19">
        <v>1.0009456398070251</v>
      </c>
      <c r="C184" s="19">
        <v>45</v>
      </c>
      <c r="D184" s="19">
        <v>28.8</v>
      </c>
    </row>
    <row r="185" spans="1:4" x14ac:dyDescent="0.25">
      <c r="A185" t="s">
        <v>115</v>
      </c>
      <c r="B185" s="19">
        <v>1.1344586097098648</v>
      </c>
      <c r="C185" s="19">
        <v>45</v>
      </c>
      <c r="D185" s="19">
        <v>28.8</v>
      </c>
    </row>
    <row r="186" spans="1:4" x14ac:dyDescent="0.25">
      <c r="A186" t="s">
        <v>116</v>
      </c>
      <c r="B186" s="19">
        <v>1.0148664819042728</v>
      </c>
      <c r="C186" s="19">
        <v>42.857142857142854</v>
      </c>
      <c r="D186" s="19">
        <v>28.8</v>
      </c>
    </row>
    <row r="187" spans="1:4" x14ac:dyDescent="0.25">
      <c r="A187" t="s">
        <v>117</v>
      </c>
      <c r="B187" s="19">
        <v>1.0399104997855271</v>
      </c>
      <c r="C187" s="19">
        <v>42.857142857142854</v>
      </c>
      <c r="D187" s="19">
        <v>28.8</v>
      </c>
    </row>
    <row r="188" spans="1:4" x14ac:dyDescent="0.25">
      <c r="A188" t="s">
        <v>118</v>
      </c>
      <c r="B188" s="19">
        <v>1.0622541232769782</v>
      </c>
      <c r="C188" s="19">
        <v>42.857142857142854</v>
      </c>
      <c r="D188" s="19">
        <v>28.8</v>
      </c>
    </row>
    <row r="189" spans="1:4" x14ac:dyDescent="0.25">
      <c r="A189" t="s">
        <v>119</v>
      </c>
      <c r="B189" s="19">
        <v>0.97736556782760275</v>
      </c>
      <c r="C189" s="19">
        <v>35.526315789473685</v>
      </c>
      <c r="D189" s="19">
        <v>28.8</v>
      </c>
    </row>
    <row r="190" spans="1:4" x14ac:dyDescent="0.25">
      <c r="A190" t="s">
        <v>120</v>
      </c>
      <c r="B190" s="19">
        <v>0.93111584543495696</v>
      </c>
      <c r="C190" s="19">
        <v>35.526315789473685</v>
      </c>
      <c r="D190" s="19">
        <v>28.8</v>
      </c>
    </row>
    <row r="191" spans="1:4" x14ac:dyDescent="0.25">
      <c r="A191" t="s">
        <v>121</v>
      </c>
      <c r="B191" s="19">
        <v>0.92801895125181899</v>
      </c>
      <c r="C191" s="19">
        <v>35.526315789473685</v>
      </c>
      <c r="D191" s="19">
        <v>28.8</v>
      </c>
    </row>
    <row r="192" spans="1:4" x14ac:dyDescent="0.25">
      <c r="A192" t="s">
        <v>122</v>
      </c>
      <c r="B192" s="19">
        <v>0.85834723380700673</v>
      </c>
      <c r="C192" s="19">
        <v>27</v>
      </c>
      <c r="D192" s="19">
        <v>28.8</v>
      </c>
    </row>
    <row r="193" spans="1:4" x14ac:dyDescent="0.25">
      <c r="A193" t="s">
        <v>172</v>
      </c>
      <c r="B193" s="19">
        <v>0.83184269716222559</v>
      </c>
      <c r="C193" s="19">
        <v>27</v>
      </c>
      <c r="D193" s="19">
        <v>28.8</v>
      </c>
    </row>
    <row r="194" spans="1:4" x14ac:dyDescent="0.25">
      <c r="A194" t="s">
        <v>173</v>
      </c>
      <c r="B194" s="19">
        <v>1.0907933784358415</v>
      </c>
      <c r="C194" s="19">
        <v>22.5</v>
      </c>
      <c r="D194" s="19">
        <v>28.8</v>
      </c>
    </row>
    <row r="195" spans="1:4" x14ac:dyDescent="0.25">
      <c r="A195" t="s">
        <v>174</v>
      </c>
      <c r="B195" s="19">
        <v>0.88921200699466563</v>
      </c>
      <c r="C195" s="19">
        <v>22.5</v>
      </c>
      <c r="D195" s="19">
        <v>28.8</v>
      </c>
    </row>
    <row r="196" spans="1:4" x14ac:dyDescent="0.25">
      <c r="A196" t="s">
        <v>175</v>
      </c>
      <c r="B196" s="19">
        <v>0.95363316649193308</v>
      </c>
      <c r="C196" s="19">
        <v>18</v>
      </c>
      <c r="D196" s="19">
        <v>28.8</v>
      </c>
    </row>
    <row r="197" spans="1:4" x14ac:dyDescent="0.25">
      <c r="A197" t="s">
        <v>176</v>
      </c>
      <c r="B197" s="19">
        <v>1.0217890652568922</v>
      </c>
      <c r="C197" s="19">
        <v>18</v>
      </c>
      <c r="D197" s="19">
        <v>28.8</v>
      </c>
    </row>
    <row r="198" spans="1:4" x14ac:dyDescent="0.25">
      <c r="A198" t="s">
        <v>256</v>
      </c>
      <c r="B198" s="19">
        <v>2.0982877089378458</v>
      </c>
      <c r="C198" s="19">
        <v>20.451778709590151</v>
      </c>
      <c r="D198" s="19">
        <v>113</v>
      </c>
    </row>
    <row r="199" spans="1:4" x14ac:dyDescent="0.25">
      <c r="A199" t="s">
        <v>177</v>
      </c>
      <c r="B199" s="19">
        <v>1.6556924398528725</v>
      </c>
      <c r="C199" s="19">
        <v>20.47670639219935</v>
      </c>
      <c r="D199" s="19">
        <v>113</v>
      </c>
    </row>
    <row r="200" spans="1:4" x14ac:dyDescent="0.25">
      <c r="A200" t="s">
        <v>178</v>
      </c>
      <c r="B200" s="19">
        <v>1.9129802599668224</v>
      </c>
      <c r="C200" s="19">
        <v>20.543478260869566</v>
      </c>
      <c r="D200" s="19">
        <v>113</v>
      </c>
    </row>
    <row r="201" spans="1:4" x14ac:dyDescent="0.25">
      <c r="A201" t="s">
        <v>179</v>
      </c>
      <c r="B201" s="19">
        <v>1.209637679507457</v>
      </c>
      <c r="C201" s="19">
        <v>15.29280873874785</v>
      </c>
      <c r="D201" s="19">
        <v>113</v>
      </c>
    </row>
    <row r="202" spans="1:4" x14ac:dyDescent="0.25">
      <c r="A202" t="s">
        <v>180</v>
      </c>
      <c r="B202" s="19">
        <v>1.2231403129670606</v>
      </c>
      <c r="C202" s="19">
        <v>15.289715845889372</v>
      </c>
      <c r="D202" s="19">
        <v>113</v>
      </c>
    </row>
    <row r="203" spans="1:4" x14ac:dyDescent="0.25">
      <c r="A203" t="s">
        <v>181</v>
      </c>
      <c r="B203" s="19">
        <v>1.3688848408213352</v>
      </c>
      <c r="C203" s="19">
        <v>15.22811964951153</v>
      </c>
      <c r="D203" s="19">
        <v>113</v>
      </c>
    </row>
    <row r="204" spans="1:4" x14ac:dyDescent="0.25">
      <c r="A204" t="s">
        <v>182</v>
      </c>
      <c r="B204" s="19">
        <v>1.3593516224859929</v>
      </c>
      <c r="C204" s="19">
        <v>12.181759587495971</v>
      </c>
      <c r="D204" s="19">
        <v>113</v>
      </c>
    </row>
    <row r="205" spans="1:4" x14ac:dyDescent="0.25">
      <c r="A205" t="s">
        <v>183</v>
      </c>
      <c r="B205" s="19">
        <v>1.2906827751806056</v>
      </c>
      <c r="C205" s="19">
        <v>12.155317951603827</v>
      </c>
      <c r="D205" s="19">
        <v>113</v>
      </c>
    </row>
    <row r="206" spans="1:4" x14ac:dyDescent="0.25">
      <c r="A206" t="s">
        <v>184</v>
      </c>
      <c r="B206" s="19">
        <v>1.0162674921338475</v>
      </c>
      <c r="C206" s="19">
        <v>12.188633615477631</v>
      </c>
      <c r="D206" s="19">
        <v>113</v>
      </c>
    </row>
    <row r="207" spans="1:4" x14ac:dyDescent="0.25">
      <c r="A207" t="s">
        <v>257</v>
      </c>
      <c r="B207" s="19">
        <v>1.6153580526089693</v>
      </c>
      <c r="C207" s="19">
        <v>33.781603012372244</v>
      </c>
      <c r="D207" s="19">
        <v>113</v>
      </c>
    </row>
    <row r="208" spans="1:4" x14ac:dyDescent="0.25">
      <c r="A208" t="s">
        <v>185</v>
      </c>
      <c r="B208" s="19">
        <v>2.4128703716133288</v>
      </c>
      <c r="C208" s="19">
        <v>33.745298226759807</v>
      </c>
      <c r="D208" s="19">
        <v>113</v>
      </c>
    </row>
    <row r="209" spans="1:4" x14ac:dyDescent="0.25">
      <c r="A209" t="s">
        <v>186</v>
      </c>
      <c r="B209" s="19">
        <v>1.591279845527797</v>
      </c>
      <c r="C209" s="19">
        <v>33.457645178476291</v>
      </c>
      <c r="D209" s="19">
        <v>113</v>
      </c>
    </row>
    <row r="210" spans="1:4" x14ac:dyDescent="0.25">
      <c r="A210" t="s">
        <v>187</v>
      </c>
      <c r="B210" s="19">
        <v>1.4847598761541816</v>
      </c>
      <c r="C210" s="19">
        <v>25.132566283141571</v>
      </c>
      <c r="D210" s="19">
        <v>113</v>
      </c>
    </row>
    <row r="211" spans="1:4" x14ac:dyDescent="0.25">
      <c r="A211" t="s">
        <v>188</v>
      </c>
      <c r="B211" s="19">
        <v>1.1254729717185525</v>
      </c>
      <c r="C211" s="19">
        <v>25.12</v>
      </c>
      <c r="D211" s="19">
        <v>113</v>
      </c>
    </row>
    <row r="212" spans="1:4" x14ac:dyDescent="0.25">
      <c r="A212" t="s">
        <v>189</v>
      </c>
      <c r="B212" s="19">
        <v>1.3544032837924467</v>
      </c>
      <c r="C212" s="19">
        <v>25.279259333802958</v>
      </c>
      <c r="D212" s="19">
        <v>113</v>
      </c>
    </row>
    <row r="213" spans="1:4" x14ac:dyDescent="0.25">
      <c r="A213" t="s">
        <v>190</v>
      </c>
      <c r="B213" s="19">
        <v>1.5667217338264392</v>
      </c>
      <c r="C213" s="19">
        <v>20.160513643659712</v>
      </c>
      <c r="D213" s="19">
        <v>113</v>
      </c>
    </row>
    <row r="214" spans="1:4" x14ac:dyDescent="0.25">
      <c r="A214" t="s">
        <v>191</v>
      </c>
      <c r="B214" s="19">
        <v>1.4031812021804693</v>
      </c>
      <c r="C214" s="19">
        <v>20.081541290271005</v>
      </c>
      <c r="D214" s="19">
        <v>113</v>
      </c>
    </row>
    <row r="215" spans="1:4" x14ac:dyDescent="0.25">
      <c r="A215" t="s">
        <v>192</v>
      </c>
      <c r="B215" s="19">
        <v>1.4030945443552136</v>
      </c>
      <c r="C215" s="19">
        <v>20.170226433274451</v>
      </c>
      <c r="D215" s="19">
        <v>113</v>
      </c>
    </row>
    <row r="216" spans="1:4" x14ac:dyDescent="0.25">
      <c r="A216" t="s">
        <v>193</v>
      </c>
      <c r="B216" s="19">
        <v>1.3275733711584332</v>
      </c>
      <c r="C216" s="19">
        <v>16.777985573069731</v>
      </c>
      <c r="D216" s="19">
        <v>113</v>
      </c>
    </row>
    <row r="217" spans="1:4" x14ac:dyDescent="0.25">
      <c r="A217" t="s">
        <v>194</v>
      </c>
      <c r="B217" s="19">
        <v>1.2589851778208847</v>
      </c>
      <c r="C217" s="19">
        <v>16.751133635636169</v>
      </c>
      <c r="D217" s="19">
        <v>113</v>
      </c>
    </row>
    <row r="218" spans="1:4" x14ac:dyDescent="0.25">
      <c r="A218" t="s">
        <v>195</v>
      </c>
      <c r="B218" s="19">
        <v>1.3336226108374798</v>
      </c>
      <c r="C218" s="19">
        <v>16.712128268245625</v>
      </c>
      <c r="D218" s="19">
        <v>113</v>
      </c>
    </row>
    <row r="219" spans="1:4" x14ac:dyDescent="0.25">
      <c r="A219" t="s">
        <v>196</v>
      </c>
      <c r="B219" s="19">
        <v>1.0678076829794465</v>
      </c>
      <c r="C219" s="19">
        <v>12.583909427913035</v>
      </c>
      <c r="D219" s="19">
        <v>113</v>
      </c>
    </row>
    <row r="220" spans="1:4" x14ac:dyDescent="0.25">
      <c r="A220" t="s">
        <v>197</v>
      </c>
      <c r="B220" s="19">
        <v>1.0477363007933436</v>
      </c>
      <c r="C220" s="19">
        <v>12.591478696741854</v>
      </c>
      <c r="D220" s="19">
        <v>113</v>
      </c>
    </row>
    <row r="221" spans="1:4" x14ac:dyDescent="0.25">
      <c r="A221" t="s">
        <v>198</v>
      </c>
      <c r="B221" s="19">
        <v>1.1012024667108917</v>
      </c>
      <c r="C221" s="19">
        <v>12.573831214335769</v>
      </c>
      <c r="D221" s="19">
        <v>113</v>
      </c>
    </row>
    <row r="222" spans="1:4" x14ac:dyDescent="0.25">
      <c r="A222" t="s">
        <v>199</v>
      </c>
      <c r="B222" s="19">
        <v>2.417437862887978</v>
      </c>
      <c r="C222" s="19">
        <v>47.197957263808632</v>
      </c>
      <c r="D222" s="19">
        <v>113</v>
      </c>
    </row>
    <row r="223" spans="1:4" x14ac:dyDescent="0.25">
      <c r="A223" t="s">
        <v>200</v>
      </c>
      <c r="B223" s="19">
        <v>1.5014168516137647</v>
      </c>
      <c r="C223" s="19">
        <v>47.491548343475323</v>
      </c>
      <c r="D223" s="19">
        <v>113</v>
      </c>
    </row>
    <row r="224" spans="1:4" x14ac:dyDescent="0.25">
      <c r="A224" t="s">
        <v>201</v>
      </c>
      <c r="B224" s="19">
        <v>2.1522863348818237</v>
      </c>
      <c r="C224" s="19">
        <v>47.357065803667744</v>
      </c>
      <c r="D224" s="19">
        <v>113</v>
      </c>
    </row>
    <row r="225" spans="1:4" x14ac:dyDescent="0.25">
      <c r="A225" t="s">
        <v>202</v>
      </c>
      <c r="B225" s="19">
        <v>1.6247614225237093</v>
      </c>
      <c r="C225" s="19">
        <v>35.478331144560059</v>
      </c>
      <c r="D225" s="19">
        <v>113</v>
      </c>
    </row>
    <row r="226" spans="1:4" x14ac:dyDescent="0.25">
      <c r="A226" t="s">
        <v>203</v>
      </c>
      <c r="B226" s="19">
        <v>1.6898518828626057</v>
      </c>
      <c r="C226" s="19">
        <v>35.331991951710258</v>
      </c>
      <c r="D226" s="19">
        <v>113</v>
      </c>
    </row>
    <row r="227" spans="1:4" x14ac:dyDescent="0.25">
      <c r="A227" t="s">
        <v>204</v>
      </c>
      <c r="B227" s="19">
        <v>1.5056627810915122</v>
      </c>
      <c r="C227" s="19">
        <v>35.292935383378556</v>
      </c>
      <c r="D227" s="19">
        <v>113</v>
      </c>
    </row>
    <row r="228" spans="1:4" x14ac:dyDescent="0.25">
      <c r="A228" t="s">
        <v>205</v>
      </c>
      <c r="B228" s="19">
        <v>1.4689646940956744</v>
      </c>
      <c r="C228" s="19">
        <v>28.229242022345471</v>
      </c>
      <c r="D228" s="19">
        <v>113</v>
      </c>
    </row>
    <row r="229" spans="1:4" x14ac:dyDescent="0.25">
      <c r="A229" t="s">
        <v>206</v>
      </c>
      <c r="B229" s="19">
        <v>1.1495936044794224</v>
      </c>
      <c r="C229" s="19">
        <v>28.267868641339344</v>
      </c>
      <c r="D229" s="19">
        <v>113</v>
      </c>
    </row>
    <row r="230" spans="1:4" x14ac:dyDescent="0.25">
      <c r="A230" t="s">
        <v>207</v>
      </c>
      <c r="B230" s="19">
        <v>1.4683001926610408</v>
      </c>
      <c r="C230" s="19">
        <v>28.231511254019292</v>
      </c>
      <c r="D230" s="19">
        <v>113</v>
      </c>
    </row>
    <row r="231" spans="1:4" x14ac:dyDescent="0.25">
      <c r="A231" t="s">
        <v>208</v>
      </c>
      <c r="B231" s="19">
        <v>2.2200322184676864</v>
      </c>
      <c r="C231" s="19">
        <v>23.518382106743452</v>
      </c>
      <c r="D231" s="19">
        <v>113</v>
      </c>
    </row>
    <row r="232" spans="1:4" x14ac:dyDescent="0.25">
      <c r="A232" t="s">
        <v>209</v>
      </c>
      <c r="B232" s="19">
        <v>1.2460092501100619</v>
      </c>
      <c r="C232" s="19">
        <v>23.589468027941969</v>
      </c>
      <c r="D232" s="19">
        <v>113</v>
      </c>
    </row>
    <row r="233" spans="1:4" x14ac:dyDescent="0.25">
      <c r="A233" t="s">
        <v>210</v>
      </c>
      <c r="B233" s="19">
        <v>1.3532762062532833</v>
      </c>
      <c r="C233" s="19">
        <v>23.425827107790823</v>
      </c>
      <c r="D233" s="19">
        <v>113</v>
      </c>
    </row>
    <row r="234" spans="1:4" x14ac:dyDescent="0.25">
      <c r="A234" t="s">
        <v>211</v>
      </c>
      <c r="B234" s="19">
        <v>1.135716936198276</v>
      </c>
      <c r="C234" s="19">
        <v>17.574059247397919</v>
      </c>
      <c r="D234" s="19">
        <v>113</v>
      </c>
    </row>
    <row r="235" spans="1:4" x14ac:dyDescent="0.25">
      <c r="A235" t="s">
        <v>212</v>
      </c>
      <c r="B235" s="19">
        <v>1.3444762750884751</v>
      </c>
      <c r="C235" s="19">
        <v>17.596071947492359</v>
      </c>
      <c r="D235" s="19">
        <v>113</v>
      </c>
    </row>
    <row r="236" spans="1:4" x14ac:dyDescent="0.25">
      <c r="A236" t="s">
        <v>213</v>
      </c>
      <c r="B236" s="19">
        <v>1.1341454335205015</v>
      </c>
      <c r="C236" s="19">
        <v>17.501370409129418</v>
      </c>
      <c r="D236" s="19">
        <v>113</v>
      </c>
    </row>
    <row r="237" spans="1:4" x14ac:dyDescent="0.25">
      <c r="A237" t="s">
        <v>214</v>
      </c>
      <c r="B237" s="19">
        <v>1.1345649768134267</v>
      </c>
      <c r="C237" s="19">
        <v>3.8492706645056725</v>
      </c>
      <c r="D237" s="19">
        <v>100</v>
      </c>
    </row>
    <row r="238" spans="1:4" x14ac:dyDescent="0.25">
      <c r="A238" t="s">
        <v>215</v>
      </c>
      <c r="B238" s="19">
        <v>1.2503496926745554</v>
      </c>
      <c r="C238" s="19">
        <v>3.9110745162618361</v>
      </c>
      <c r="D238" s="19">
        <v>100</v>
      </c>
    </row>
    <row r="239" spans="1:4" x14ac:dyDescent="0.25">
      <c r="A239" t="s">
        <v>216</v>
      </c>
      <c r="B239" s="19">
        <v>1.1351511241059604</v>
      </c>
      <c r="C239" s="19">
        <v>3.6159100040176777</v>
      </c>
      <c r="D239" s="19">
        <v>100</v>
      </c>
    </row>
    <row r="240" spans="1:4" x14ac:dyDescent="0.25">
      <c r="A240" t="s">
        <v>217</v>
      </c>
      <c r="B240" s="19">
        <v>1.1895861768567411</v>
      </c>
      <c r="C240" s="19">
        <v>3.629032258064516</v>
      </c>
      <c r="D240" s="19">
        <v>100</v>
      </c>
    </row>
    <row r="241" spans="1:9" x14ac:dyDescent="0.25">
      <c r="A241" t="s">
        <v>218</v>
      </c>
      <c r="B241" s="19">
        <v>0.97255360117536727</v>
      </c>
      <c r="C241" s="19">
        <v>3.4959414932090329</v>
      </c>
      <c r="D241" s="19">
        <v>100</v>
      </c>
    </row>
    <row r="242" spans="1:9" x14ac:dyDescent="0.25">
      <c r="A242" t="s">
        <v>219</v>
      </c>
      <c r="B242" s="19">
        <v>0.94610378299821241</v>
      </c>
      <c r="C242" s="19">
        <v>3.4816712021770448</v>
      </c>
      <c r="D242" s="19">
        <v>100</v>
      </c>
    </row>
    <row r="243" spans="1:9" x14ac:dyDescent="0.25">
      <c r="A243" t="s">
        <v>220</v>
      </c>
      <c r="B243" s="19">
        <v>0.99403454116328427</v>
      </c>
      <c r="C243" s="19">
        <v>3.400226681778785</v>
      </c>
      <c r="D243" s="19">
        <v>100</v>
      </c>
    </row>
    <row r="244" spans="1:9" x14ac:dyDescent="0.25">
      <c r="A244" t="s">
        <v>221</v>
      </c>
      <c r="B244" s="19">
        <v>0.95972133670581761</v>
      </c>
      <c r="C244" s="19">
        <v>3.4029492226596383</v>
      </c>
      <c r="D244" s="19">
        <v>100</v>
      </c>
    </row>
    <row r="245" spans="1:9" x14ac:dyDescent="0.25">
      <c r="A245" t="s">
        <v>222</v>
      </c>
      <c r="B245" s="19">
        <v>1.3187467354047528</v>
      </c>
      <c r="C245" s="19">
        <v>10.108833544768645</v>
      </c>
      <c r="D245" s="19">
        <v>113</v>
      </c>
    </row>
    <row r="246" spans="1:9" x14ac:dyDescent="0.25">
      <c r="A246" t="s">
        <v>223</v>
      </c>
      <c r="B246" s="19">
        <v>1.239191069715964</v>
      </c>
      <c r="C246" s="19">
        <v>10.135904130682198</v>
      </c>
      <c r="D246" s="19">
        <v>113</v>
      </c>
    </row>
    <row r="247" spans="1:9" x14ac:dyDescent="0.25">
      <c r="A247" t="s">
        <v>224</v>
      </c>
      <c r="B247" s="19">
        <v>1.2993485286428768</v>
      </c>
      <c r="C247" s="19">
        <v>10.121674020590987</v>
      </c>
      <c r="D247" s="19">
        <v>113</v>
      </c>
    </row>
    <row r="248" spans="1:9" x14ac:dyDescent="0.25">
      <c r="A248" t="s">
        <v>225</v>
      </c>
      <c r="B248" s="19">
        <v>0.74543353583675553</v>
      </c>
      <c r="C248" s="19">
        <v>3.3164162604894227</v>
      </c>
      <c r="D248" s="19">
        <v>113</v>
      </c>
    </row>
    <row r="249" spans="1:9" x14ac:dyDescent="0.25">
      <c r="A249" t="s">
        <v>226</v>
      </c>
      <c r="B249" s="19">
        <v>0.8078387533711695</v>
      </c>
      <c r="C249" s="19">
        <v>3.3214231795078253</v>
      </c>
      <c r="D249" s="19">
        <v>113</v>
      </c>
      <c r="E249">
        <f t="array" ref="E249">COUNT(IF(C118:C252 &lt; 4,IF(D118:D252 &gt;75,B118:B252)))</f>
        <v>14</v>
      </c>
      <c r="F249" t="s">
        <v>277</v>
      </c>
      <c r="G249" t="s">
        <v>279</v>
      </c>
      <c r="H249" t="s">
        <v>276</v>
      </c>
      <c r="I249" s="16">
        <f t="array" ref="I249">AVERAGE(IF(C118:C252 &lt; 4,IF(D118:D252 &gt;75,B118:B252)))</f>
        <v>0.9662461794216437</v>
      </c>
    </row>
    <row r="250" spans="1:9" x14ac:dyDescent="0.25">
      <c r="A250" t="s">
        <v>227</v>
      </c>
      <c r="B250" s="19">
        <v>1.1487806685089965</v>
      </c>
      <c r="C250" s="19">
        <v>7.6110999396742418</v>
      </c>
      <c r="D250" s="19">
        <v>113</v>
      </c>
      <c r="E250" s="1">
        <f t="array" ref="E250">COUNT(IF(C119:C253 &gt;= 4,IF(D119:D253 &gt;75,B119:B253)))</f>
        <v>61</v>
      </c>
      <c r="F250" t="s">
        <v>278</v>
      </c>
      <c r="G250" t="s">
        <v>279</v>
      </c>
      <c r="H250" t="s">
        <v>276</v>
      </c>
      <c r="I250" s="16">
        <f t="array" ref="I250">AVERAGE(IF(C118:C252 &gt;= 4,IF(D118:D252 &gt;75,B118:B252)))</f>
        <v>1.3129051137696299</v>
      </c>
    </row>
    <row r="251" spans="1:9" x14ac:dyDescent="0.25">
      <c r="A251" t="s">
        <v>228</v>
      </c>
      <c r="B251" s="19">
        <v>1.1515217195994707</v>
      </c>
      <c r="C251" s="19">
        <v>7.6084225337956681</v>
      </c>
      <c r="D251" s="19">
        <v>113</v>
      </c>
      <c r="E251">
        <f>COUNTIF(D118:D252, "&gt;= 100")</f>
        <v>55</v>
      </c>
      <c r="F251" s="20" t="s">
        <v>280</v>
      </c>
      <c r="G251" s="1" t="s">
        <v>283</v>
      </c>
      <c r="H251" s="1" t="s">
        <v>276</v>
      </c>
      <c r="I251" s="16">
        <f t="array" ref="I251">AVERAGE(IF(D118:D252 &gt;=100,B118:B252))</f>
        <v>1.3622496698813913</v>
      </c>
    </row>
    <row r="252" spans="1:9" x14ac:dyDescent="0.25">
      <c r="A252" t="s">
        <v>229</v>
      </c>
      <c r="B252" s="19">
        <v>0.98987902923562388</v>
      </c>
      <c r="C252" s="19">
        <v>7.6095697627663847</v>
      </c>
      <c r="D252" s="19">
        <v>113</v>
      </c>
      <c r="E252" s="1">
        <f t="array" ref="E252">COUNT(IF(C118:C252 &lt; 4,IF(D118:D252 &gt;=100,B118:B252)))</f>
        <v>10</v>
      </c>
      <c r="F252" t="s">
        <v>277</v>
      </c>
      <c r="G252" s="1" t="s">
        <v>283</v>
      </c>
      <c r="H252" s="1" t="s">
        <v>276</v>
      </c>
      <c r="I252" s="16">
        <f t="array" ref="I252">AVERAGE(IF(C118:C252 &lt; 4,IF(D118:D252 &gt;=100,B118:B252)))</f>
        <v>1.0135337521701291</v>
      </c>
    </row>
    <row r="253" spans="1:9" x14ac:dyDescent="0.25">
      <c r="A253" s="22" t="s">
        <v>258</v>
      </c>
      <c r="B253" s="16">
        <f>AVERAGE(B118:B152)</f>
        <v>0.9721198842720209</v>
      </c>
      <c r="C253" s="19"/>
      <c r="D253" s="19"/>
      <c r="E253" s="1">
        <f t="array" ref="E253">COUNT(IF(C118:C252 &gt;= 4,IF(D118:D252 &gt;=100,B118:B252)))</f>
        <v>45</v>
      </c>
      <c r="F253" t="s">
        <v>278</v>
      </c>
      <c r="G253" s="1" t="s">
        <v>283</v>
      </c>
      <c r="H253" s="1" t="s">
        <v>276</v>
      </c>
      <c r="I253" s="16">
        <f t="array" ref="I253">AVERAGE(IF(C118:C252 &gt;= 4,IF(D118:D252 &gt;=100,B118:B252)))</f>
        <v>1.4397420960394496</v>
      </c>
    </row>
    <row r="254" spans="1:9" x14ac:dyDescent="0.25">
      <c r="A254" s="22"/>
      <c r="B254" s="16"/>
      <c r="C254" s="19"/>
      <c r="D254" s="19"/>
    </row>
    <row r="255" spans="1:9" x14ac:dyDescent="0.25">
      <c r="B255" s="19"/>
      <c r="C255" s="19"/>
      <c r="D255" s="19"/>
      <c r="E255">
        <f>COUNT(B7:B252)</f>
        <v>245</v>
      </c>
      <c r="F255" s="24" t="s">
        <v>291</v>
      </c>
      <c r="G255" t="s">
        <v>261</v>
      </c>
      <c r="H255" t="s">
        <v>292</v>
      </c>
      <c r="I255" s="16">
        <f>AVERAGE(B7:B252)</f>
        <v>1.1219186286933205</v>
      </c>
    </row>
    <row r="256" spans="1:9" x14ac:dyDescent="0.25">
      <c r="B256" s="19"/>
      <c r="C256" s="19"/>
      <c r="D256" s="19"/>
    </row>
    <row r="257" spans="2:4" x14ac:dyDescent="0.25">
      <c r="B257" s="19"/>
      <c r="C257" s="19"/>
      <c r="D257" s="19"/>
    </row>
  </sheetData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Data</vt:lpstr>
      <vt:lpstr>Graphs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2018-04-17T14:48:59Z</cp:lastPrinted>
  <dcterms:created xsi:type="dcterms:W3CDTF">2017-09-24T14:18:38Z</dcterms:created>
  <dcterms:modified xsi:type="dcterms:W3CDTF">2018-04-17T14:49:55Z</dcterms:modified>
</cp:coreProperties>
</file>