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E7D\"/>
    </mc:Choice>
  </mc:AlternateContent>
  <xr:revisionPtr revIDLastSave="0" documentId="8_{A44A7998-17F4-481E-925C-344543D4C146}" xr6:coauthVersionLast="40" xr6:coauthVersionMax="40" xr10:uidLastSave="{00000000-0000-0000-0000-000000000000}"/>
  <bookViews>
    <workbookView xWindow="120" yWindow="75" windowWidth="11340" windowHeight="5955" xr2:uid="{00000000-000D-0000-FFFF-FFFF00000000}"/>
  </bookViews>
  <sheets>
    <sheet name="Data" sheetId="1" r:id="rId1"/>
    <sheet name="Summary" sheetId="2" r:id="rId2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I10" i="1"/>
  <c r="AB10" i="1"/>
  <c r="J10" i="1"/>
  <c r="K10" i="1"/>
  <c r="L10" i="1"/>
  <c r="N10" i="1"/>
  <c r="O10" i="1"/>
  <c r="AC10" i="1"/>
  <c r="AE10" i="1"/>
  <c r="AG10" i="1"/>
  <c r="AI10" i="1"/>
  <c r="AD10" i="1"/>
  <c r="AF10" i="1"/>
  <c r="P10" i="1"/>
  <c r="AH10" i="1"/>
  <c r="Q10" i="1"/>
  <c r="R10" i="1"/>
  <c r="S10" i="1"/>
  <c r="G11" i="1"/>
  <c r="I11" i="1"/>
  <c r="AB11" i="1"/>
  <c r="J11" i="1"/>
  <c r="K11" i="1"/>
  <c r="L11" i="1"/>
  <c r="N11" i="1"/>
  <c r="O11" i="1"/>
  <c r="AC11" i="1"/>
  <c r="AE11" i="1"/>
  <c r="AG11" i="1"/>
  <c r="AI11" i="1"/>
  <c r="AD11" i="1"/>
  <c r="AF11" i="1"/>
  <c r="P11" i="1"/>
  <c r="AH11" i="1"/>
  <c r="Q11" i="1"/>
  <c r="R11" i="1"/>
  <c r="S11" i="1"/>
  <c r="G12" i="1"/>
  <c r="I12" i="1"/>
  <c r="AB12" i="1"/>
  <c r="J12" i="1"/>
  <c r="K12" i="1"/>
  <c r="L12" i="1"/>
  <c r="N12" i="1"/>
  <c r="O12" i="1"/>
  <c r="AC12" i="1"/>
  <c r="AE12" i="1"/>
  <c r="AG12" i="1"/>
  <c r="AI12" i="1"/>
  <c r="AD12" i="1"/>
  <c r="AF12" i="1"/>
  <c r="P12" i="1"/>
  <c r="AH12" i="1"/>
  <c r="Q12" i="1"/>
  <c r="R12" i="1"/>
  <c r="S12" i="1"/>
  <c r="G13" i="1"/>
  <c r="I13" i="1"/>
  <c r="AB13" i="1"/>
  <c r="J13" i="1"/>
  <c r="K13" i="1"/>
  <c r="L13" i="1"/>
  <c r="N13" i="1"/>
  <c r="O13" i="1"/>
  <c r="AC13" i="1"/>
  <c r="AE13" i="1"/>
  <c r="AG13" i="1"/>
  <c r="AI13" i="1"/>
  <c r="AD13" i="1"/>
  <c r="AF13" i="1"/>
  <c r="P13" i="1"/>
  <c r="AH13" i="1"/>
  <c r="Q13" i="1"/>
  <c r="R13" i="1"/>
  <c r="S13" i="1"/>
  <c r="G14" i="1"/>
  <c r="I14" i="1"/>
  <c r="AB14" i="1"/>
  <c r="J14" i="1"/>
  <c r="K14" i="1"/>
  <c r="L14" i="1"/>
  <c r="N14" i="1"/>
  <c r="O14" i="1"/>
  <c r="AC14" i="1"/>
  <c r="AE14" i="1"/>
  <c r="AG14" i="1"/>
  <c r="AI14" i="1"/>
  <c r="AD14" i="1"/>
  <c r="AF14" i="1"/>
  <c r="P14" i="1"/>
  <c r="AH14" i="1"/>
  <c r="Q14" i="1"/>
  <c r="R14" i="1"/>
  <c r="S14" i="1"/>
  <c r="G15" i="1"/>
  <c r="I15" i="1"/>
  <c r="AB15" i="1"/>
  <c r="J15" i="1"/>
  <c r="K15" i="1"/>
  <c r="L15" i="1"/>
  <c r="N15" i="1"/>
  <c r="O15" i="1"/>
  <c r="AC15" i="1"/>
  <c r="AE15" i="1"/>
  <c r="AG15" i="1"/>
  <c r="AI15" i="1"/>
  <c r="AD15" i="1"/>
  <c r="AF15" i="1"/>
  <c r="P15" i="1"/>
  <c r="AH15" i="1"/>
  <c r="Q15" i="1"/>
  <c r="R15" i="1"/>
  <c r="S15" i="1"/>
  <c r="G16" i="1"/>
  <c r="I16" i="1"/>
  <c r="AB16" i="1"/>
  <c r="J16" i="1"/>
  <c r="K16" i="1"/>
  <c r="L16" i="1"/>
  <c r="N16" i="1"/>
  <c r="O16" i="1"/>
  <c r="AC16" i="1"/>
  <c r="AE16" i="1"/>
  <c r="AG16" i="1"/>
  <c r="AI16" i="1"/>
  <c r="AD16" i="1"/>
  <c r="AF16" i="1"/>
  <c r="P16" i="1"/>
  <c r="AH16" i="1"/>
  <c r="Q16" i="1"/>
  <c r="R16" i="1"/>
  <c r="S16" i="1"/>
  <c r="G17" i="1"/>
  <c r="I17" i="1"/>
  <c r="AB17" i="1"/>
  <c r="J17" i="1"/>
  <c r="K17" i="1"/>
  <c r="L17" i="1"/>
  <c r="N17" i="1"/>
  <c r="O17" i="1"/>
  <c r="AC17" i="1"/>
  <c r="AE17" i="1"/>
  <c r="AG17" i="1"/>
  <c r="AI17" i="1"/>
  <c r="AD17" i="1"/>
  <c r="AF17" i="1"/>
  <c r="P17" i="1"/>
  <c r="AH17" i="1"/>
  <c r="Q17" i="1"/>
  <c r="R17" i="1"/>
  <c r="S17" i="1"/>
  <c r="G18" i="1"/>
  <c r="I18" i="1"/>
  <c r="AB18" i="1"/>
  <c r="J18" i="1"/>
  <c r="K18" i="1"/>
  <c r="L18" i="1"/>
  <c r="N18" i="1"/>
  <c r="O18" i="1"/>
  <c r="AC18" i="1"/>
  <c r="AE18" i="1"/>
  <c r="AG18" i="1"/>
  <c r="AI18" i="1"/>
  <c r="AD18" i="1"/>
  <c r="AF18" i="1"/>
  <c r="P18" i="1"/>
  <c r="AH18" i="1"/>
  <c r="Q18" i="1"/>
  <c r="R18" i="1"/>
  <c r="S18" i="1"/>
  <c r="G19" i="1"/>
  <c r="I19" i="1"/>
  <c r="AB19" i="1"/>
  <c r="J19" i="1"/>
  <c r="K19" i="1"/>
  <c r="L19" i="1"/>
  <c r="N19" i="1"/>
  <c r="O19" i="1"/>
  <c r="AC19" i="1"/>
  <c r="AE19" i="1"/>
  <c r="AG19" i="1"/>
  <c r="AI19" i="1"/>
  <c r="AD19" i="1"/>
  <c r="AF19" i="1"/>
  <c r="P19" i="1"/>
  <c r="AH19" i="1"/>
  <c r="Q19" i="1"/>
  <c r="R19" i="1"/>
  <c r="S19" i="1"/>
  <c r="G20" i="1"/>
  <c r="I20" i="1"/>
  <c r="AB20" i="1"/>
  <c r="J20" i="1"/>
  <c r="K20" i="1"/>
  <c r="L20" i="1"/>
  <c r="N20" i="1"/>
  <c r="O20" i="1"/>
  <c r="AC20" i="1"/>
  <c r="AE20" i="1"/>
  <c r="AG20" i="1"/>
  <c r="AI20" i="1"/>
  <c r="AD20" i="1"/>
  <c r="AF20" i="1"/>
  <c r="P20" i="1"/>
  <c r="AH20" i="1"/>
  <c r="Q20" i="1"/>
  <c r="R20" i="1"/>
  <c r="S20" i="1"/>
  <c r="G21" i="1"/>
  <c r="I21" i="1"/>
  <c r="AB21" i="1"/>
  <c r="J21" i="1"/>
  <c r="K21" i="1"/>
  <c r="L21" i="1"/>
  <c r="N21" i="1"/>
  <c r="O21" i="1"/>
  <c r="AC21" i="1"/>
  <c r="AE21" i="1"/>
  <c r="AG21" i="1"/>
  <c r="AI21" i="1"/>
  <c r="AD21" i="1"/>
  <c r="AF21" i="1"/>
  <c r="P21" i="1"/>
  <c r="AH21" i="1"/>
  <c r="Q21" i="1"/>
  <c r="R21" i="1"/>
  <c r="S21" i="1"/>
  <c r="R22" i="1"/>
  <c r="R23" i="1"/>
  <c r="S23" i="1"/>
  <c r="S24" i="1"/>
  <c r="A7" i="2"/>
  <c r="B7" i="2"/>
  <c r="A8" i="2"/>
  <c r="B8" i="2"/>
  <c r="C8" i="2"/>
  <c r="D8" i="2"/>
  <c r="E8" i="2"/>
  <c r="F8" i="2"/>
  <c r="G8" i="2"/>
  <c r="H8" i="2"/>
  <c r="I8" i="2"/>
  <c r="J8" i="2"/>
  <c r="A9" i="2"/>
  <c r="B9" i="2"/>
  <c r="C9" i="2"/>
  <c r="D9" i="2"/>
  <c r="E9" i="2"/>
  <c r="F9" i="2"/>
  <c r="G9" i="2"/>
  <c r="H9" i="2"/>
  <c r="I9" i="2"/>
  <c r="J9" i="2"/>
  <c r="A10" i="2"/>
  <c r="B10" i="2"/>
  <c r="C10" i="2"/>
  <c r="D10" i="2"/>
  <c r="E10" i="2"/>
  <c r="F10" i="2"/>
  <c r="G10" i="2"/>
  <c r="H10" i="2"/>
  <c r="I10" i="2"/>
  <c r="J10" i="2"/>
  <c r="A11" i="2"/>
  <c r="B11" i="2"/>
  <c r="C11" i="2"/>
  <c r="D11" i="2"/>
  <c r="E11" i="2"/>
  <c r="F11" i="2"/>
  <c r="G11" i="2"/>
  <c r="H11" i="2"/>
  <c r="I11" i="2"/>
  <c r="J11" i="2"/>
  <c r="A12" i="2"/>
  <c r="B12" i="2"/>
  <c r="C12" i="2"/>
  <c r="D12" i="2"/>
  <c r="E12" i="2"/>
  <c r="F12" i="2"/>
  <c r="G12" i="2"/>
  <c r="H12" i="2"/>
  <c r="I12" i="2"/>
  <c r="J12" i="2"/>
  <c r="A13" i="2"/>
  <c r="B13" i="2"/>
  <c r="C13" i="2"/>
  <c r="D13" i="2"/>
  <c r="E13" i="2"/>
  <c r="F13" i="2"/>
  <c r="G13" i="2"/>
  <c r="H13" i="2"/>
  <c r="I13" i="2"/>
  <c r="J13" i="2"/>
  <c r="A14" i="2"/>
  <c r="B14" i="2"/>
  <c r="C14" i="2"/>
  <c r="D14" i="2"/>
  <c r="E14" i="2"/>
  <c r="F14" i="2"/>
  <c r="G14" i="2"/>
  <c r="H14" i="2"/>
  <c r="I14" i="2"/>
  <c r="J14" i="2"/>
  <c r="A15" i="2"/>
  <c r="B15" i="2"/>
  <c r="C15" i="2"/>
  <c r="D15" i="2"/>
  <c r="E15" i="2"/>
  <c r="F15" i="2"/>
  <c r="G15" i="2"/>
  <c r="H15" i="2"/>
  <c r="I15" i="2"/>
  <c r="J15" i="2"/>
  <c r="A16" i="2"/>
  <c r="B16" i="2"/>
  <c r="C16" i="2"/>
  <c r="D16" i="2"/>
  <c r="E16" i="2"/>
  <c r="F16" i="2"/>
  <c r="G16" i="2"/>
  <c r="H16" i="2"/>
  <c r="I16" i="2"/>
  <c r="J16" i="2"/>
  <c r="A17" i="2"/>
  <c r="B17" i="2"/>
  <c r="C17" i="2"/>
  <c r="D17" i="2"/>
  <c r="E17" i="2"/>
  <c r="F17" i="2"/>
  <c r="G17" i="2"/>
  <c r="H17" i="2"/>
  <c r="I17" i="2"/>
  <c r="J17" i="2"/>
  <c r="A18" i="2"/>
  <c r="B18" i="2"/>
  <c r="C18" i="2"/>
  <c r="D18" i="2"/>
  <c r="E18" i="2"/>
  <c r="F18" i="2"/>
  <c r="G18" i="2"/>
  <c r="H18" i="2"/>
  <c r="I18" i="2"/>
  <c r="J18" i="2"/>
  <c r="A19" i="2"/>
  <c r="B19" i="2"/>
  <c r="C19" i="2"/>
  <c r="D19" i="2"/>
  <c r="E19" i="2"/>
  <c r="F19" i="2"/>
  <c r="G19" i="2"/>
  <c r="H19" i="2"/>
  <c r="I19" i="2"/>
  <c r="J19" i="2"/>
  <c r="J20" i="2"/>
  <c r="J21" i="2"/>
</calcChain>
</file>

<file path=xl/sharedStrings.xml><?xml version="1.0" encoding="utf-8"?>
<sst xmlns="http://schemas.openxmlformats.org/spreadsheetml/2006/main" count="141" uniqueCount="108">
  <si>
    <t xml:space="preserve">   bn)  NEW from Dong Dec '06      Long  Concrete filled Circular Columns No Moment</t>
  </si>
  <si>
    <t>DATA</t>
  </si>
  <si>
    <t>Notes:</t>
  </si>
  <si>
    <t>(A)  fcyl</t>
  </si>
  <si>
    <t xml:space="preserve"> = 0.8*fcu</t>
  </si>
  <si>
    <t xml:space="preserve"> </t>
  </si>
  <si>
    <t>(B) Ec =</t>
  </si>
  <si>
    <t>22*((fcyl +</t>
  </si>
  <si>
    <t>8)/10)^0.3</t>
  </si>
  <si>
    <t>(C)  Sle</t>
  </si>
  <si>
    <t>nderness</t>
  </si>
  <si>
    <t xml:space="preserve"> = SQRT(</t>
  </si>
  <si>
    <t>NplR/Ncrit</t>
  </si>
  <si>
    <t>)</t>
  </si>
  <si>
    <t xml:space="preserve">   Theory</t>
  </si>
  <si>
    <t xml:space="preserve">  Short</t>
  </si>
  <si>
    <t>Column</t>
  </si>
  <si>
    <t xml:space="preserve">  Long</t>
  </si>
  <si>
    <t xml:space="preserve"> &lt;   add</t>
  </si>
  <si>
    <t>itional</t>
  </si>
  <si>
    <t xml:space="preserve"> ..</t>
  </si>
  <si>
    <t xml:space="preserve">   data</t>
  </si>
  <si>
    <t xml:space="preserve">    &gt;</t>
  </si>
  <si>
    <t xml:space="preserve"> &lt;</t>
  </si>
  <si>
    <t>subsi</t>
  </si>
  <si>
    <t>diary</t>
  </si>
  <si>
    <t xml:space="preserve">  cal</t>
  </si>
  <si>
    <t>culations</t>
  </si>
  <si>
    <t>&gt;</t>
  </si>
  <si>
    <t>local</t>
  </si>
  <si>
    <t xml:space="preserve">   Test  </t>
  </si>
  <si>
    <t xml:space="preserve">  EC4</t>
  </si>
  <si>
    <t xml:space="preserve"> Chi x</t>
  </si>
  <si>
    <t xml:space="preserve">  Test   </t>
  </si>
  <si>
    <t>d</t>
  </si>
  <si>
    <t>def. at</t>
  </si>
  <si>
    <t>Ref. No.</t>
  </si>
  <si>
    <t xml:space="preserve">  Dia.</t>
  </si>
  <si>
    <t xml:space="preserve"> thick</t>
  </si>
  <si>
    <t xml:space="preserve"> Yield</t>
  </si>
  <si>
    <t xml:space="preserve">  Es</t>
  </si>
  <si>
    <t xml:space="preserve"> f cyl</t>
  </si>
  <si>
    <t xml:space="preserve">  Ec</t>
  </si>
  <si>
    <t xml:space="preserve"> Length</t>
  </si>
  <si>
    <t xml:space="preserve">  L/D</t>
  </si>
  <si>
    <t>slender-</t>
  </si>
  <si>
    <t>D/t</t>
  </si>
  <si>
    <t>buckling</t>
  </si>
  <si>
    <t xml:space="preserve">   Nmax</t>
  </si>
  <si>
    <t xml:space="preserve">   Nuniax</t>
  </si>
  <si>
    <t xml:space="preserve">  Nu cdg</t>
  </si>
  <si>
    <t xml:space="preserve">  NplR</t>
  </si>
  <si>
    <t>Long EC4</t>
  </si>
  <si>
    <t>Asfy</t>
  </si>
  <si>
    <t>max load</t>
  </si>
  <si>
    <t xml:space="preserve">  End</t>
  </si>
  <si>
    <t>init.def</t>
  </si>
  <si>
    <t xml:space="preserve">   s2</t>
  </si>
  <si>
    <t xml:space="preserve">  e2</t>
  </si>
  <si>
    <t xml:space="preserve">   Ey</t>
  </si>
  <si>
    <t xml:space="preserve"> ecmax</t>
  </si>
  <si>
    <t xml:space="preserve"> eult</t>
  </si>
  <si>
    <t>EC4</t>
  </si>
  <si>
    <t>Slend</t>
  </si>
  <si>
    <t xml:space="preserve">   mm</t>
  </si>
  <si>
    <t xml:space="preserve">  MPa</t>
  </si>
  <si>
    <t xml:space="preserve">  GPa</t>
  </si>
  <si>
    <t xml:space="preserve">  ness</t>
  </si>
  <si>
    <t>if &gt; 1</t>
  </si>
  <si>
    <t xml:space="preserve">    kN</t>
  </si>
  <si>
    <t xml:space="preserve">     kN</t>
  </si>
  <si>
    <t xml:space="preserve">   kN</t>
  </si>
  <si>
    <t>Npl,Rd</t>
  </si>
  <si>
    <t xml:space="preserve"> condit.</t>
  </si>
  <si>
    <t xml:space="preserve">   MPa</t>
  </si>
  <si>
    <t xml:space="preserve">   GPa</t>
  </si>
  <si>
    <t>Ex n</t>
  </si>
  <si>
    <t>EC4xn</t>
  </si>
  <si>
    <t xml:space="preserve"> n10</t>
  </si>
  <si>
    <t xml:space="preserve"> n20</t>
  </si>
  <si>
    <t xml:space="preserve"> n1</t>
  </si>
  <si>
    <t xml:space="preserve"> n2</t>
  </si>
  <si>
    <t xml:space="preserve">  Chi</t>
  </si>
  <si>
    <t>n10*</t>
  </si>
  <si>
    <t>Bai &amp; Li</t>
  </si>
  <si>
    <t>Ref. 103</t>
  </si>
  <si>
    <t>GZJ1-1</t>
  </si>
  <si>
    <t>GZJ1-2</t>
  </si>
  <si>
    <t>GZJ1-3</t>
  </si>
  <si>
    <t>GZJ2-1</t>
  </si>
  <si>
    <t>GZJ2-2</t>
  </si>
  <si>
    <t>GZJ2-3</t>
  </si>
  <si>
    <t>GZJ3-1</t>
  </si>
  <si>
    <t>GZJ3-2</t>
  </si>
  <si>
    <t>GZJ3-3</t>
  </si>
  <si>
    <t>GZJ4-1</t>
  </si>
  <si>
    <t>GZJ4-2</t>
  </si>
  <si>
    <t>GZJ4-3</t>
  </si>
  <si>
    <t>No.</t>
  </si>
  <si>
    <t>No. &lt; 1</t>
  </si>
  <si>
    <t>No &lt;0.2</t>
  </si>
  <si>
    <t>No &gt;0.9</t>
  </si>
  <si>
    <t>bn)   New   Long  Concrete filled Circular Columns No Moment</t>
  </si>
  <si>
    <t>Summary</t>
  </si>
  <si>
    <t xml:space="preserve">   Test</t>
  </si>
  <si>
    <t>Long</t>
  </si>
  <si>
    <t>Av (12) =</t>
  </si>
  <si>
    <t>St Dev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</si>
</sst>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_)"/>
    <numFmt numFmtId="165" formatCode="0.00_)"/>
    <numFmt numFmtId="166" formatCode="0.0000_)"/>
    <numFmt numFmtId="167" formatCode="0.000_)"/>
    <numFmt numFmtId="168" formatCode="0_)"/>
    <numFmt numFmtId="169" formatCode="0.0"/>
    <numFmt numFmtId="170" formatCode="0.000"/>
  </numFmts>
  <fonts count="6">
    <font>
      <sz val="10"/>
      <name val="Arial"/>
    </font>
    <font>
      <b/>
      <sz val="10"/>
      <name val="Arial"/>
      <family val="2"/>
    </font>
    <font>
      <sz val="10"/>
      <color indexed="12"/>
      <name val="Courier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165" fontId="0" fillId="0" borderId="0" xfId="0" applyNumberFormat="1" applyAlignment="1" applyProtection="1">
      <alignment horizontal="left"/>
    </xf>
    <xf numFmtId="164" fontId="0" fillId="0" borderId="0" xfId="0" applyNumberFormat="1" applyProtection="1"/>
    <xf numFmtId="164" fontId="0" fillId="0" borderId="0" xfId="0" applyNumberFormat="1" applyAlignment="1" applyProtection="1">
      <alignment horizontal="left"/>
    </xf>
    <xf numFmtId="166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165" fontId="0" fillId="0" borderId="0" xfId="0" applyNumberFormat="1" applyAlignment="1" applyProtection="1">
      <alignment horizontal="right"/>
    </xf>
    <xf numFmtId="164" fontId="0" fillId="0" borderId="0" xfId="0" applyNumberFormat="1" applyAlignment="1" applyProtection="1">
      <alignment horizontal="right"/>
    </xf>
    <xf numFmtId="0" fontId="1" fillId="0" borderId="0" xfId="0" applyFont="1" applyAlignment="1" applyProtection="1">
      <alignment horizontal="left"/>
    </xf>
    <xf numFmtId="0" fontId="1" fillId="0" borderId="0" xfId="0" applyFont="1"/>
    <xf numFmtId="166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0" fillId="0" borderId="0" xfId="0" applyAlignment="1">
      <alignment horizontal="center"/>
    </xf>
    <xf numFmtId="165" fontId="1" fillId="0" borderId="0" xfId="0" applyNumberFormat="1" applyFont="1" applyAlignment="1" applyProtection="1">
      <alignment horizontal="left"/>
    </xf>
    <xf numFmtId="0" fontId="0" fillId="0" borderId="0" xfId="0" applyAlignment="1" applyProtection="1">
      <alignment horizontal="center"/>
    </xf>
    <xf numFmtId="167" fontId="0" fillId="0" borderId="0" xfId="0" applyNumberFormat="1" applyAlignment="1" applyProtection="1">
      <alignment horizontal="left"/>
    </xf>
    <xf numFmtId="165" fontId="0" fillId="0" borderId="0" xfId="0" applyNumberFormat="1" applyProtection="1"/>
    <xf numFmtId="167" fontId="0" fillId="0" borderId="0" xfId="0" applyNumberFormat="1" applyProtection="1"/>
    <xf numFmtId="168" fontId="0" fillId="0" borderId="0" xfId="0" applyNumberFormat="1" applyProtection="1"/>
    <xf numFmtId="166" fontId="0" fillId="0" borderId="0" xfId="0" applyNumberFormat="1" applyProtection="1"/>
    <xf numFmtId="0" fontId="1" fillId="0" borderId="0" xfId="0" applyFont="1" applyAlignment="1">
      <alignment horizontal="center"/>
    </xf>
    <xf numFmtId="2" fontId="0" fillId="0" borderId="0" xfId="0" applyNumberFormat="1"/>
    <xf numFmtId="0" fontId="0" fillId="0" borderId="0" xfId="0" applyAlignment="1"/>
    <xf numFmtId="2" fontId="3" fillId="0" borderId="0" xfId="0" applyNumberFormat="1" applyFont="1" applyAlignment="1">
      <alignment horizontal="center"/>
    </xf>
    <xf numFmtId="165" fontId="1" fillId="0" borderId="0" xfId="0" applyNumberFormat="1" applyFont="1" applyAlignment="1" applyProtection="1">
      <alignment horizontal="center"/>
    </xf>
    <xf numFmtId="2" fontId="1" fillId="0" borderId="0" xfId="0" applyNumberFormat="1" applyFont="1" applyAlignment="1">
      <alignment horizontal="center"/>
    </xf>
    <xf numFmtId="165" fontId="0" fillId="0" borderId="0" xfId="0" applyNumberFormat="1" applyAlignment="1" applyProtection="1">
      <alignment horizontal="center"/>
    </xf>
    <xf numFmtId="1" fontId="0" fillId="0" borderId="0" xfId="0" applyNumberFormat="1" applyAlignment="1" applyProtection="1">
      <alignment horizontal="left"/>
    </xf>
    <xf numFmtId="169" fontId="0" fillId="0" borderId="0" xfId="0" applyNumberForma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right"/>
    </xf>
    <xf numFmtId="1" fontId="4" fillId="0" borderId="0" xfId="0" applyNumberFormat="1" applyFont="1" applyAlignment="1" applyProtection="1">
      <alignment horizontal="right"/>
    </xf>
    <xf numFmtId="2" fontId="4" fillId="0" borderId="0" xfId="0" applyNumberFormat="1" applyFont="1" applyAlignment="1" applyProtection="1">
      <alignment horizontal="right"/>
    </xf>
    <xf numFmtId="170" fontId="0" fillId="0" borderId="0" xfId="0" applyNumberFormat="1"/>
    <xf numFmtId="2" fontId="1" fillId="0" borderId="0" xfId="0" applyNumberFormat="1" applyFont="1"/>
    <xf numFmtId="1" fontId="4" fillId="0" borderId="0" xfId="0" applyNumberFormat="1" applyFont="1" applyAlignment="1" applyProtection="1">
      <alignment horizontal="center"/>
    </xf>
    <xf numFmtId="167" fontId="1" fillId="0" borderId="0" xfId="0" applyNumberFormat="1" applyFont="1" applyAlignment="1" applyProtection="1">
      <alignment horizontal="center"/>
    </xf>
    <xf numFmtId="2" fontId="0" fillId="0" borderId="0" xfId="0" applyNumberFormat="1" applyProtection="1"/>
    <xf numFmtId="169" fontId="0" fillId="0" borderId="0" xfId="0" applyNumberFormat="1" applyProtection="1"/>
    <xf numFmtId="164" fontId="1" fillId="0" borderId="0" xfId="0" applyNumberFormat="1" applyFont="1" applyAlignment="1" applyProtection="1">
      <alignment horizontal="center"/>
    </xf>
    <xf numFmtId="1" fontId="0" fillId="0" borderId="0" xfId="0" applyNumberFormat="1" applyProtection="1"/>
    <xf numFmtId="0" fontId="5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"/>
  <sheetViews>
    <sheetView tabSelected="1" zoomScaleNormal="100" zoomScaleSheetLayoutView="100" workbookViewId="0" xr3:uid="{AEA406A1-0E4B-5B11-9CD5-51D6E497D94C}">
      <pane xSplit="1" ySplit="8" topLeftCell="B15" activePane="bottomRight" state="frozen"/>
      <selection pane="bottomRight" activeCell="A4" sqref="A4"/>
      <selection pane="bottomLeft" activeCell="A9" sqref="A9"/>
      <selection pane="topRight" activeCell="B1" sqref="B1"/>
    </sheetView>
  </sheetViews>
  <sheetFormatPr defaultRowHeight="12.75"/>
  <cols>
    <col min="1" max="1" width="14.7109375" customWidth="1"/>
    <col min="9" max="11" width="8.28515625" customWidth="1"/>
  </cols>
  <sheetData>
    <row r="1" spans="1:35">
      <c r="A1" s="47" t="s">
        <v>0</v>
      </c>
      <c r="B1" s="47"/>
      <c r="C1" s="47"/>
      <c r="D1" s="47"/>
      <c r="E1" s="47"/>
      <c r="F1" s="47"/>
      <c r="G1" s="47"/>
      <c r="H1" s="47"/>
      <c r="I1" s="47"/>
      <c r="M1" s="1"/>
      <c r="N1" s="1"/>
      <c r="O1" s="1"/>
    </row>
    <row r="2" spans="1:35">
      <c r="A2" s="2"/>
      <c r="B2" s="2"/>
      <c r="C2" s="3"/>
      <c r="D2" s="2"/>
      <c r="E2" s="2"/>
      <c r="F2" s="4"/>
      <c r="G2" s="5"/>
      <c r="H2" s="1"/>
      <c r="M2" s="1"/>
      <c r="N2" s="1"/>
      <c r="O2" s="1"/>
      <c r="T2" s="1"/>
      <c r="U2" s="1"/>
      <c r="W2" s="1"/>
      <c r="X2" s="6"/>
      <c r="Y2" s="7"/>
      <c r="Z2" s="7"/>
    </row>
    <row r="3" spans="1:35">
      <c r="A3" s="23" t="s">
        <v>1</v>
      </c>
    </row>
    <row r="4" spans="1:35">
      <c r="B4" s="2" t="s">
        <v>2</v>
      </c>
      <c r="C4" s="8" t="s">
        <v>3</v>
      </c>
      <c r="D4" s="2" t="s">
        <v>4</v>
      </c>
      <c r="E4" s="2" t="s">
        <v>5</v>
      </c>
      <c r="F4" s="9" t="s">
        <v>6</v>
      </c>
      <c r="G4" s="5" t="s">
        <v>7</v>
      </c>
      <c r="H4" s="2" t="s">
        <v>8</v>
      </c>
      <c r="I4" s="1"/>
    </row>
    <row r="5" spans="1:35">
      <c r="C5" s="8" t="s">
        <v>9</v>
      </c>
      <c r="D5" s="2" t="s">
        <v>10</v>
      </c>
      <c r="E5" s="2" t="s">
        <v>11</v>
      </c>
      <c r="F5" s="5" t="s">
        <v>12</v>
      </c>
      <c r="G5" s="5" t="s">
        <v>13</v>
      </c>
      <c r="N5" s="2" t="s">
        <v>14</v>
      </c>
      <c r="O5" s="2" t="s">
        <v>15</v>
      </c>
      <c r="P5" s="2" t="s">
        <v>16</v>
      </c>
      <c r="Q5" s="10" t="s">
        <v>17</v>
      </c>
      <c r="R5" s="11"/>
      <c r="S5" s="11"/>
      <c r="T5" s="2" t="s">
        <v>18</v>
      </c>
      <c r="U5" s="2" t="s">
        <v>19</v>
      </c>
      <c r="V5" s="3" t="s">
        <v>20</v>
      </c>
      <c r="W5" s="2" t="s">
        <v>20</v>
      </c>
      <c r="X5" s="12" t="s">
        <v>20</v>
      </c>
      <c r="Y5" s="2" t="s">
        <v>20</v>
      </c>
      <c r="Z5" s="2" t="s">
        <v>21</v>
      </c>
      <c r="AA5" s="2" t="s">
        <v>22</v>
      </c>
      <c r="AB5" s="2" t="s">
        <v>23</v>
      </c>
      <c r="AC5" s="13" t="s">
        <v>24</v>
      </c>
      <c r="AD5" s="2" t="s">
        <v>25</v>
      </c>
      <c r="AE5" s="13" t="s">
        <v>26</v>
      </c>
      <c r="AF5" s="2" t="s">
        <v>27</v>
      </c>
      <c r="AI5" s="8" t="s">
        <v>28</v>
      </c>
    </row>
    <row r="6" spans="1:35">
      <c r="L6" s="23" t="s">
        <v>29</v>
      </c>
      <c r="M6" s="10" t="s">
        <v>30</v>
      </c>
      <c r="P6" s="10" t="s">
        <v>31</v>
      </c>
      <c r="Q6" s="10" t="s">
        <v>32</v>
      </c>
      <c r="R6" s="14" t="s">
        <v>33</v>
      </c>
      <c r="S6" s="44" t="s">
        <v>34</v>
      </c>
      <c r="T6" s="15" t="s">
        <v>35</v>
      </c>
    </row>
    <row r="7" spans="1:35">
      <c r="A7" s="46" t="s">
        <v>36</v>
      </c>
      <c r="B7" s="46" t="s">
        <v>37</v>
      </c>
      <c r="C7" s="27" t="s">
        <v>38</v>
      </c>
      <c r="D7" s="46" t="s">
        <v>39</v>
      </c>
      <c r="E7" s="46" t="s">
        <v>40</v>
      </c>
      <c r="F7" s="42" t="s">
        <v>41</v>
      </c>
      <c r="G7" s="42" t="s">
        <v>42</v>
      </c>
      <c r="H7" s="46" t="s">
        <v>43</v>
      </c>
      <c r="I7" s="42" t="s">
        <v>44</v>
      </c>
      <c r="J7" s="39" t="s">
        <v>45</v>
      </c>
      <c r="K7" s="39" t="s">
        <v>46</v>
      </c>
      <c r="L7" s="39" t="s">
        <v>47</v>
      </c>
      <c r="M7" s="10" t="s">
        <v>48</v>
      </c>
      <c r="N7" s="10" t="s">
        <v>49</v>
      </c>
      <c r="O7" s="10" t="s">
        <v>50</v>
      </c>
      <c r="P7" s="10" t="s">
        <v>51</v>
      </c>
      <c r="Q7" s="10" t="s">
        <v>31</v>
      </c>
      <c r="R7" s="46" t="s">
        <v>52</v>
      </c>
      <c r="S7" s="45" t="s">
        <v>53</v>
      </c>
      <c r="T7" s="17" t="s">
        <v>54</v>
      </c>
      <c r="U7" s="2" t="s">
        <v>55</v>
      </c>
      <c r="V7" s="3" t="s">
        <v>56</v>
      </c>
      <c r="W7" s="2" t="s">
        <v>57</v>
      </c>
      <c r="X7" s="12" t="s">
        <v>58</v>
      </c>
      <c r="Y7" s="2" t="s">
        <v>59</v>
      </c>
      <c r="Z7" s="2" t="s">
        <v>60</v>
      </c>
      <c r="AA7" s="2" t="s">
        <v>61</v>
      </c>
      <c r="AB7" s="2" t="s">
        <v>62</v>
      </c>
      <c r="AC7" s="2" t="s">
        <v>63</v>
      </c>
    </row>
    <row r="8" spans="1:35">
      <c r="A8" s="11"/>
      <c r="B8" s="46" t="s">
        <v>64</v>
      </c>
      <c r="C8" s="27" t="s">
        <v>64</v>
      </c>
      <c r="D8" s="46" t="s">
        <v>65</v>
      </c>
      <c r="E8" s="46" t="s">
        <v>66</v>
      </c>
      <c r="F8" s="42" t="s">
        <v>65</v>
      </c>
      <c r="G8" s="42" t="s">
        <v>66</v>
      </c>
      <c r="H8" s="46" t="s">
        <v>64</v>
      </c>
      <c r="I8" s="23"/>
      <c r="J8" s="39" t="s">
        <v>67</v>
      </c>
      <c r="K8" s="39"/>
      <c r="L8" s="39" t="s">
        <v>68</v>
      </c>
      <c r="M8" s="10" t="s">
        <v>69</v>
      </c>
      <c r="N8" s="10" t="s">
        <v>70</v>
      </c>
      <c r="O8" s="10" t="s">
        <v>69</v>
      </c>
      <c r="P8" s="10" t="s">
        <v>71</v>
      </c>
      <c r="Q8" s="10" t="s">
        <v>71</v>
      </c>
      <c r="R8" s="11"/>
      <c r="S8" s="23" t="s">
        <v>72</v>
      </c>
      <c r="T8" s="2" t="s">
        <v>64</v>
      </c>
      <c r="U8" s="2" t="s">
        <v>73</v>
      </c>
      <c r="V8" s="3" t="s">
        <v>64</v>
      </c>
      <c r="W8" s="2" t="s">
        <v>74</v>
      </c>
      <c r="Y8" s="2" t="s">
        <v>75</v>
      </c>
      <c r="AB8" s="2" t="s">
        <v>76</v>
      </c>
      <c r="AC8" s="2" t="s">
        <v>77</v>
      </c>
      <c r="AD8" s="2" t="s">
        <v>78</v>
      </c>
      <c r="AE8" s="2" t="s">
        <v>79</v>
      </c>
      <c r="AF8" s="2" t="s">
        <v>80</v>
      </c>
      <c r="AG8" s="2" t="s">
        <v>81</v>
      </c>
      <c r="AH8" s="18" t="s">
        <v>82</v>
      </c>
      <c r="AI8" s="3" t="s">
        <v>83</v>
      </c>
    </row>
    <row r="9" spans="1:35">
      <c r="A9" s="46" t="s">
        <v>84</v>
      </c>
      <c r="B9" s="46">
        <v>2006</v>
      </c>
      <c r="C9" s="38" t="s">
        <v>85</v>
      </c>
      <c r="D9" s="17"/>
      <c r="E9" s="1"/>
    </row>
    <row r="10" spans="1:35">
      <c r="A10" s="17" t="s">
        <v>86</v>
      </c>
      <c r="B10">
        <v>219</v>
      </c>
      <c r="C10" s="19">
        <v>7</v>
      </c>
      <c r="D10" s="1">
        <v>273</v>
      </c>
      <c r="E10" s="1">
        <v>200</v>
      </c>
      <c r="F10" s="4">
        <v>38.200000000000003</v>
      </c>
      <c r="G10" s="4">
        <f>22*((F10+8)/10)^0.3</f>
        <v>34.818918178430394</v>
      </c>
      <c r="H10" s="1">
        <v>990</v>
      </c>
      <c r="I10" s="4">
        <f>(H10/B10)</f>
        <v>4.5205479452054798</v>
      </c>
      <c r="J10" s="20">
        <f>SQRT((64*AB10*H10*H10)/(PI()^3*((B10^4-(B10-2*C10)^4)*E10+(B10-2*C10)^4*G10*0.8/1.35)))</f>
        <v>0.18914236224240433</v>
      </c>
      <c r="K10" s="41">
        <f>B10/C10</f>
        <v>31.285714285714285</v>
      </c>
      <c r="L10" s="40">
        <f>K10/(90*235/D10)</f>
        <v>0.4038297872340425</v>
      </c>
      <c r="M10" s="1">
        <v>3278</v>
      </c>
      <c r="N10" s="1">
        <f>ROUND((0.85*F10*(B10-2*C10)^2+D10*(B10*B10-(B10-2*C10)^2))*PI()/4000,0)</f>
        <v>2344</v>
      </c>
      <c r="O10" s="1">
        <f>ROUND((0.85*F10+6*C10*D10/(B10-2*C10))*PI()*(B10-2*C10)^2/4000,0)</f>
        <v>2918</v>
      </c>
      <c r="P10" s="21">
        <f>0.00025*PI()*((B10*B10-(B10-2*C10)^2)*D10*AG10+F10*(B10-2*C10)^2*(1+AF10*C10*D10/(B10*F10)))</f>
        <v>2915.2632508514098</v>
      </c>
      <c r="Q10" s="21">
        <f>AH10*P10</f>
        <v>2915.2632508514098</v>
      </c>
      <c r="R10" s="19">
        <f>M10/Q10</f>
        <v>1.1244267559859824</v>
      </c>
      <c r="S10" s="40">
        <f>PI()*B10*C10*D10/(1000*P10)</f>
        <v>0.45100036831226981</v>
      </c>
      <c r="W10" s="1">
        <v>290</v>
      </c>
      <c r="X10" s="22">
        <v>2.1999999999999999E-2</v>
      </c>
      <c r="Y10" s="1">
        <v>4</v>
      </c>
      <c r="AB10" s="21">
        <f>0.00025*PI()*((B10*B10-(B10-2*C10)^2)*D10+F10*(B10-2*C10)^2)</f>
        <v>2533.6025835350506</v>
      </c>
      <c r="AC10" s="1">
        <f>SQRT((64*AB10*H10*H10)/(PI()^3*((B10^4-(B10-2*C10)^4)*E10+(B10-2*C10)^4*G10*0.6)))</f>
        <v>0.18884240450157461</v>
      </c>
      <c r="AD10" s="1">
        <f>IF(AC10&gt;0.5,0,AI10)</f>
        <v>2.0126602302657877</v>
      </c>
      <c r="AE10" s="1">
        <f>IF((0.25*(3+2*AC10))&gt;1,1,(0.25*(3+2*AC10)))</f>
        <v>0.84442120225078732</v>
      </c>
      <c r="AF10" s="1">
        <f>AD10</f>
        <v>2.0126602302657877</v>
      </c>
      <c r="AG10" s="1">
        <f>AE10</f>
        <v>0.84442120225078732</v>
      </c>
      <c r="AH10" s="20">
        <f>IF(J10&lt;0.2,1,1/(0.5*(1+0.21*(J10-0.2)+J10*J10)+SQRT((0.5*(1+0.21*(J10-0.2)+J10*J10))^2-J10*J10)))</f>
        <v>1</v>
      </c>
      <c r="AI10" s="19">
        <f>IF((4.9-18.5*AC10+17*AC10*AC10)&lt;0,0,(4.9-18.5*AC10+17*AC10*AC10))</f>
        <v>2.0126602302657877</v>
      </c>
    </row>
    <row r="11" spans="1:35">
      <c r="A11" s="17" t="s">
        <v>87</v>
      </c>
      <c r="B11">
        <v>219</v>
      </c>
      <c r="C11" s="19">
        <v>7</v>
      </c>
      <c r="D11" s="1">
        <v>273</v>
      </c>
      <c r="E11" s="1">
        <v>200</v>
      </c>
      <c r="F11" s="4">
        <v>38.200000000000003</v>
      </c>
      <c r="G11" s="4">
        <f t="shared" ref="G11:G21" si="0">22*((F11+8)/10)^0.3</f>
        <v>34.818918178430394</v>
      </c>
      <c r="H11">
        <v>990</v>
      </c>
      <c r="I11" s="4">
        <f t="shared" ref="I11:I21" si="1">(H11/B11)</f>
        <v>4.5205479452054798</v>
      </c>
      <c r="J11" s="20">
        <f t="shared" ref="J11:J21" si="2">SQRT((64*AB11*H11*H11)/(PI()^3*((B11^4-(B11-2*C11)^4)*E11+(B11-2*C11)^4*G11*0.8/1.35)))</f>
        <v>0.18914236224240433</v>
      </c>
      <c r="K11" s="41">
        <f t="shared" ref="K11:K21" si="3">B11/C11</f>
        <v>31.285714285714285</v>
      </c>
      <c r="L11" s="40">
        <f t="shared" ref="L11:L21" si="4">K11/(90*235/D11)</f>
        <v>0.4038297872340425</v>
      </c>
      <c r="M11">
        <v>3278</v>
      </c>
      <c r="N11" s="1">
        <f t="shared" ref="N11:N21" si="5">ROUND((0.85*F11*(B11-2*C11)^2+D11*(B11*B11-(B11-2*C11)^2))*PI()/4000,0)</f>
        <v>2344</v>
      </c>
      <c r="O11" s="1">
        <f t="shared" ref="O11:O21" si="6">ROUND((0.85*F11+6*C11*D11/(B11-2*C11))*PI()*(B11-2*C11)^2/4000,0)</f>
        <v>2918</v>
      </c>
      <c r="P11" s="21">
        <f t="shared" ref="P11:P21" si="7">0.00025*PI()*((B11*B11-(B11-2*C11)^2)*D11*AG11+F11*(B11-2*C11)^2*(1+AF11*C11*D11/(B11*F11)))</f>
        <v>2915.2632508514098</v>
      </c>
      <c r="Q11" s="21">
        <f t="shared" ref="Q11:Q21" si="8">AH11*P11</f>
        <v>2915.2632508514098</v>
      </c>
      <c r="R11" s="19">
        <f t="shared" ref="R11:R21" si="9">M11/Q11</f>
        <v>1.1244267559859824</v>
      </c>
      <c r="S11" s="40">
        <f t="shared" ref="S11:S21" si="10">PI()*B11*C11*D11/(1000*P11)</f>
        <v>0.45100036831226981</v>
      </c>
      <c r="W11" s="1">
        <v>290</v>
      </c>
      <c r="X11" s="22">
        <v>2.1999999999999999E-2</v>
      </c>
      <c r="Y11" s="1">
        <v>4</v>
      </c>
      <c r="AB11" s="21">
        <f t="shared" ref="AB11:AB21" si="11">0.00025*PI()*((B11*B11-(B11-2*C11)^2)*D11+F11*(B11-2*C11)^2)</f>
        <v>2533.6025835350506</v>
      </c>
      <c r="AC11" s="1">
        <f t="shared" ref="AC11:AC21" si="12">SQRT((64*AB11*H11*H11)/(PI()^3*((B11^4-(B11-2*C11)^4)*E11+(B11-2*C11)^4*G11*0.6)))</f>
        <v>0.18884240450157461</v>
      </c>
      <c r="AD11" s="1">
        <f t="shared" ref="AD11:AD21" si="13">IF(AC11&gt;0.5,0,AI11)</f>
        <v>2.0126602302657877</v>
      </c>
      <c r="AE11" s="1">
        <f t="shared" ref="AE11:AE21" si="14">IF((0.25*(3+2*AC11))&gt;1,1,(0.25*(3+2*AC11)))</f>
        <v>0.84442120225078732</v>
      </c>
      <c r="AF11" s="1">
        <f t="shared" ref="AF11:AF21" si="15">AD11</f>
        <v>2.0126602302657877</v>
      </c>
      <c r="AG11" s="1">
        <f t="shared" ref="AG11:AG21" si="16">AE11</f>
        <v>0.84442120225078732</v>
      </c>
      <c r="AH11" s="20">
        <f t="shared" ref="AH11:AH21" si="17">IF(J11&lt;0.2,1,1/(0.5*(1+0.21*(J11-0.2)+J11*J11)+SQRT((0.5*(1+0.21*(J11-0.2)+J11*J11))^2-J11*J11)))</f>
        <v>1</v>
      </c>
      <c r="AI11" s="19">
        <f t="shared" ref="AI11:AI21" si="18">IF((4.9-18.5*AC11+17*AC11*AC11)&lt;0,0,(4.9-18.5*AC11+17*AC11*AC11))</f>
        <v>2.0126602302657877</v>
      </c>
    </row>
    <row r="12" spans="1:35">
      <c r="A12" s="17" t="s">
        <v>88</v>
      </c>
      <c r="B12">
        <v>219</v>
      </c>
      <c r="C12" s="19">
        <v>7</v>
      </c>
      <c r="D12" s="1">
        <v>273</v>
      </c>
      <c r="E12" s="1">
        <v>200</v>
      </c>
      <c r="F12" s="4">
        <v>38.200000000000003</v>
      </c>
      <c r="G12" s="4">
        <f t="shared" si="0"/>
        <v>34.818918178430394</v>
      </c>
      <c r="H12">
        <v>990</v>
      </c>
      <c r="I12" s="4">
        <f t="shared" si="1"/>
        <v>4.5205479452054798</v>
      </c>
      <c r="J12" s="20">
        <f t="shared" si="2"/>
        <v>0.18914236224240433</v>
      </c>
      <c r="K12" s="41">
        <f t="shared" si="3"/>
        <v>31.285714285714285</v>
      </c>
      <c r="L12" s="40">
        <f t="shared" si="4"/>
        <v>0.4038297872340425</v>
      </c>
      <c r="M12">
        <v>3278</v>
      </c>
      <c r="N12" s="1">
        <f t="shared" si="5"/>
        <v>2344</v>
      </c>
      <c r="O12" s="1">
        <f t="shared" si="6"/>
        <v>2918</v>
      </c>
      <c r="P12" s="21">
        <f t="shared" si="7"/>
        <v>2915.2632508514098</v>
      </c>
      <c r="Q12" s="21">
        <f t="shared" si="8"/>
        <v>2915.2632508514098</v>
      </c>
      <c r="R12" s="19">
        <f t="shared" si="9"/>
        <v>1.1244267559859824</v>
      </c>
      <c r="S12" s="40">
        <f t="shared" si="10"/>
        <v>0.45100036831226981</v>
      </c>
      <c r="W12" s="1">
        <v>290</v>
      </c>
      <c r="X12" s="22">
        <v>2.1999999999999999E-2</v>
      </c>
      <c r="Y12" s="1">
        <v>4</v>
      </c>
      <c r="AB12" s="21">
        <f t="shared" si="11"/>
        <v>2533.6025835350506</v>
      </c>
      <c r="AC12" s="1">
        <f t="shared" si="12"/>
        <v>0.18884240450157461</v>
      </c>
      <c r="AD12" s="1">
        <f t="shared" si="13"/>
        <v>2.0126602302657877</v>
      </c>
      <c r="AE12" s="1">
        <f t="shared" si="14"/>
        <v>0.84442120225078732</v>
      </c>
      <c r="AF12" s="1">
        <f t="shared" si="15"/>
        <v>2.0126602302657877</v>
      </c>
      <c r="AG12" s="1">
        <f t="shared" si="16"/>
        <v>0.84442120225078732</v>
      </c>
      <c r="AH12" s="20">
        <f t="shared" si="17"/>
        <v>1</v>
      </c>
      <c r="AI12" s="19">
        <f t="shared" si="18"/>
        <v>2.0126602302657877</v>
      </c>
    </row>
    <row r="13" spans="1:35">
      <c r="A13" s="17" t="s">
        <v>89</v>
      </c>
      <c r="B13">
        <v>219</v>
      </c>
      <c r="C13" s="19">
        <v>7</v>
      </c>
      <c r="D13" s="1">
        <v>273</v>
      </c>
      <c r="E13" s="1">
        <v>200</v>
      </c>
      <c r="F13" s="4">
        <v>38.200000000000003</v>
      </c>
      <c r="G13" s="4">
        <f t="shared" si="0"/>
        <v>34.818918178430394</v>
      </c>
      <c r="H13">
        <v>1200</v>
      </c>
      <c r="I13" s="4">
        <f t="shared" si="1"/>
        <v>5.4794520547945202</v>
      </c>
      <c r="J13" s="20">
        <f t="shared" si="2"/>
        <v>0.22926346938473252</v>
      </c>
      <c r="K13" s="41">
        <f t="shared" si="3"/>
        <v>31.285714285714285</v>
      </c>
      <c r="L13" s="40">
        <f t="shared" si="4"/>
        <v>0.4038297872340425</v>
      </c>
      <c r="M13">
        <v>3200</v>
      </c>
      <c r="N13" s="1">
        <f t="shared" si="5"/>
        <v>2344</v>
      </c>
      <c r="O13" s="1">
        <f t="shared" si="6"/>
        <v>2918</v>
      </c>
      <c r="P13" s="21">
        <f t="shared" si="7"/>
        <v>2809.2504162826899</v>
      </c>
      <c r="Q13" s="21">
        <f t="shared" si="8"/>
        <v>2791.1527487653766</v>
      </c>
      <c r="R13" s="19">
        <f t="shared" si="9"/>
        <v>1.1464797121603147</v>
      </c>
      <c r="S13" s="40">
        <f t="shared" si="10"/>
        <v>0.46801979355083106</v>
      </c>
      <c r="W13" s="1">
        <v>290</v>
      </c>
      <c r="X13" s="22">
        <v>2.1999999999999999E-2</v>
      </c>
      <c r="Y13" s="1">
        <v>4</v>
      </c>
      <c r="AB13" s="21">
        <f t="shared" si="11"/>
        <v>2533.6025835350506</v>
      </c>
      <c r="AC13" s="1">
        <f t="shared" si="12"/>
        <v>0.22889988424433283</v>
      </c>
      <c r="AD13" s="1">
        <f t="shared" si="13"/>
        <v>1.5560698106000159</v>
      </c>
      <c r="AE13" s="1">
        <f t="shared" si="14"/>
        <v>0.86444994212216641</v>
      </c>
      <c r="AF13" s="1">
        <f t="shared" si="15"/>
        <v>1.5560698106000159</v>
      </c>
      <c r="AG13" s="1">
        <f t="shared" si="16"/>
        <v>0.86444994212216641</v>
      </c>
      <c r="AH13" s="20">
        <f t="shared" si="17"/>
        <v>0.99355783044031343</v>
      </c>
      <c r="AI13" s="19">
        <f t="shared" si="18"/>
        <v>1.5560698106000159</v>
      </c>
    </row>
    <row r="14" spans="1:35">
      <c r="A14" s="17" t="s">
        <v>90</v>
      </c>
      <c r="B14">
        <v>219</v>
      </c>
      <c r="C14" s="19">
        <v>7</v>
      </c>
      <c r="D14" s="1">
        <v>273</v>
      </c>
      <c r="E14" s="1">
        <v>200</v>
      </c>
      <c r="F14" s="4">
        <v>38.200000000000003</v>
      </c>
      <c r="G14" s="4">
        <f t="shared" si="0"/>
        <v>34.818918178430394</v>
      </c>
      <c r="H14">
        <v>1200</v>
      </c>
      <c r="I14" s="4">
        <f t="shared" si="1"/>
        <v>5.4794520547945202</v>
      </c>
      <c r="J14" s="20">
        <f t="shared" si="2"/>
        <v>0.22926346938473252</v>
      </c>
      <c r="K14" s="41">
        <f t="shared" si="3"/>
        <v>31.285714285714285</v>
      </c>
      <c r="L14" s="40">
        <f t="shared" si="4"/>
        <v>0.4038297872340425</v>
      </c>
      <c r="M14">
        <v>3200</v>
      </c>
      <c r="N14" s="1">
        <f t="shared" si="5"/>
        <v>2344</v>
      </c>
      <c r="O14" s="1">
        <f t="shared" si="6"/>
        <v>2918</v>
      </c>
      <c r="P14" s="21">
        <f t="shared" si="7"/>
        <v>2809.2504162826899</v>
      </c>
      <c r="Q14" s="21">
        <f t="shared" si="8"/>
        <v>2791.1527487653766</v>
      </c>
      <c r="R14" s="19">
        <f t="shared" si="9"/>
        <v>1.1464797121603147</v>
      </c>
      <c r="S14" s="40">
        <f t="shared" si="10"/>
        <v>0.46801979355083106</v>
      </c>
      <c r="W14" s="1">
        <v>290</v>
      </c>
      <c r="X14" s="22">
        <v>2.1999999999999999E-2</v>
      </c>
      <c r="Y14" s="1">
        <v>4</v>
      </c>
      <c r="AB14" s="21">
        <f t="shared" si="11"/>
        <v>2533.6025835350506</v>
      </c>
      <c r="AC14" s="1">
        <f t="shared" si="12"/>
        <v>0.22889988424433283</v>
      </c>
      <c r="AD14" s="1">
        <f t="shared" si="13"/>
        <v>1.5560698106000159</v>
      </c>
      <c r="AE14" s="1">
        <f t="shared" si="14"/>
        <v>0.86444994212216641</v>
      </c>
      <c r="AF14" s="1">
        <f t="shared" si="15"/>
        <v>1.5560698106000159</v>
      </c>
      <c r="AG14" s="1">
        <f t="shared" si="16"/>
        <v>0.86444994212216641</v>
      </c>
      <c r="AH14" s="20">
        <f t="shared" si="17"/>
        <v>0.99355783044031343</v>
      </c>
      <c r="AI14" s="19">
        <f t="shared" si="18"/>
        <v>1.5560698106000159</v>
      </c>
    </row>
    <row r="15" spans="1:35">
      <c r="A15" s="17" t="s">
        <v>91</v>
      </c>
      <c r="B15">
        <v>219</v>
      </c>
      <c r="C15" s="19">
        <v>7</v>
      </c>
      <c r="D15" s="1">
        <v>273</v>
      </c>
      <c r="E15" s="1">
        <v>200</v>
      </c>
      <c r="F15" s="4">
        <v>38.200000000000003</v>
      </c>
      <c r="G15" s="4">
        <f t="shared" si="0"/>
        <v>34.818918178430394</v>
      </c>
      <c r="H15">
        <v>1200</v>
      </c>
      <c r="I15" s="4">
        <f t="shared" si="1"/>
        <v>5.4794520547945202</v>
      </c>
      <c r="J15" s="20">
        <f t="shared" si="2"/>
        <v>0.22926346938473252</v>
      </c>
      <c r="K15" s="41">
        <f t="shared" si="3"/>
        <v>31.285714285714285</v>
      </c>
      <c r="L15" s="40">
        <f t="shared" si="4"/>
        <v>0.4038297872340425</v>
      </c>
      <c r="M15">
        <v>3200</v>
      </c>
      <c r="N15" s="1">
        <f t="shared" si="5"/>
        <v>2344</v>
      </c>
      <c r="O15" s="1">
        <f t="shared" si="6"/>
        <v>2918</v>
      </c>
      <c r="P15" s="21">
        <f t="shared" si="7"/>
        <v>2809.2504162826899</v>
      </c>
      <c r="Q15" s="21">
        <f t="shared" si="8"/>
        <v>2791.1527487653766</v>
      </c>
      <c r="R15" s="19">
        <f t="shared" si="9"/>
        <v>1.1464797121603147</v>
      </c>
      <c r="S15" s="40">
        <f t="shared" si="10"/>
        <v>0.46801979355083106</v>
      </c>
      <c r="W15" s="1">
        <v>290</v>
      </c>
      <c r="X15" s="22">
        <v>2.1999999999999999E-2</v>
      </c>
      <c r="Y15" s="1">
        <v>4</v>
      </c>
      <c r="AB15" s="21">
        <f t="shared" si="11"/>
        <v>2533.6025835350506</v>
      </c>
      <c r="AC15" s="1">
        <f t="shared" si="12"/>
        <v>0.22889988424433283</v>
      </c>
      <c r="AD15" s="1">
        <f t="shared" si="13"/>
        <v>1.5560698106000159</v>
      </c>
      <c r="AE15" s="1">
        <f t="shared" si="14"/>
        <v>0.86444994212216641</v>
      </c>
      <c r="AF15" s="1">
        <f t="shared" si="15"/>
        <v>1.5560698106000159</v>
      </c>
      <c r="AG15" s="1">
        <f t="shared" si="16"/>
        <v>0.86444994212216641</v>
      </c>
      <c r="AH15" s="20">
        <f t="shared" si="17"/>
        <v>0.99355783044031343</v>
      </c>
      <c r="AI15" s="19">
        <f t="shared" si="18"/>
        <v>1.5560698106000159</v>
      </c>
    </row>
    <row r="16" spans="1:35">
      <c r="A16" s="17" t="s">
        <v>92</v>
      </c>
      <c r="B16">
        <v>219</v>
      </c>
      <c r="C16" s="19">
        <v>7</v>
      </c>
      <c r="D16" s="1">
        <v>273</v>
      </c>
      <c r="E16" s="1">
        <v>200</v>
      </c>
      <c r="F16" s="4">
        <v>38.200000000000003</v>
      </c>
      <c r="G16" s="4">
        <f t="shared" si="0"/>
        <v>34.818918178430394</v>
      </c>
      <c r="H16">
        <v>1420</v>
      </c>
      <c r="I16" s="4">
        <f t="shared" si="1"/>
        <v>6.4840182648401825</v>
      </c>
      <c r="J16" s="20">
        <f t="shared" si="2"/>
        <v>0.27129510543860014</v>
      </c>
      <c r="K16" s="41">
        <f t="shared" si="3"/>
        <v>31.285714285714285</v>
      </c>
      <c r="L16" s="40">
        <f t="shared" si="4"/>
        <v>0.4038297872340425</v>
      </c>
      <c r="M16">
        <v>3070</v>
      </c>
      <c r="N16" s="1">
        <f t="shared" si="5"/>
        <v>2344</v>
      </c>
      <c r="O16" s="1">
        <f t="shared" si="6"/>
        <v>2918</v>
      </c>
      <c r="P16" s="21">
        <f t="shared" si="7"/>
        <v>2715.0425713965051</v>
      </c>
      <c r="Q16" s="21">
        <f t="shared" si="8"/>
        <v>2671.9149176311889</v>
      </c>
      <c r="R16" s="19">
        <f t="shared" si="9"/>
        <v>1.1489886821402746</v>
      </c>
      <c r="S16" s="40">
        <f t="shared" si="10"/>
        <v>0.48425936805290692</v>
      </c>
      <c r="W16" s="1">
        <v>290</v>
      </c>
      <c r="X16" s="22">
        <v>2.1999999999999999E-2</v>
      </c>
      <c r="Y16" s="1">
        <v>4</v>
      </c>
      <c r="AB16" s="21">
        <f t="shared" si="11"/>
        <v>2533.6025835350506</v>
      </c>
      <c r="AC16" s="1">
        <f t="shared" si="12"/>
        <v>0.27086486302246054</v>
      </c>
      <c r="AD16" s="1">
        <f t="shared" si="13"/>
        <v>1.1362521924274775</v>
      </c>
      <c r="AE16" s="1">
        <f t="shared" si="14"/>
        <v>0.8854324315112303</v>
      </c>
      <c r="AF16" s="1">
        <f t="shared" si="15"/>
        <v>1.1362521924274775</v>
      </c>
      <c r="AG16" s="1">
        <f t="shared" si="16"/>
        <v>0.8854324315112303</v>
      </c>
      <c r="AH16" s="20">
        <f t="shared" si="17"/>
        <v>0.9841152937270029</v>
      </c>
      <c r="AI16" s="19">
        <f t="shared" si="18"/>
        <v>1.1362521924274775</v>
      </c>
    </row>
    <row r="17" spans="1:35">
      <c r="A17" s="17" t="s">
        <v>93</v>
      </c>
      <c r="B17">
        <v>219</v>
      </c>
      <c r="C17" s="19">
        <v>7</v>
      </c>
      <c r="D17" s="1">
        <v>273</v>
      </c>
      <c r="E17" s="1">
        <v>200</v>
      </c>
      <c r="F17" s="4">
        <v>38.200000000000003</v>
      </c>
      <c r="G17" s="4">
        <f t="shared" si="0"/>
        <v>34.818918178430394</v>
      </c>
      <c r="H17">
        <v>1420</v>
      </c>
      <c r="I17" s="4">
        <f t="shared" si="1"/>
        <v>6.4840182648401825</v>
      </c>
      <c r="J17" s="20">
        <f t="shared" si="2"/>
        <v>0.27129510543860014</v>
      </c>
      <c r="K17" s="41">
        <f t="shared" si="3"/>
        <v>31.285714285714285</v>
      </c>
      <c r="L17" s="40">
        <f t="shared" si="4"/>
        <v>0.4038297872340425</v>
      </c>
      <c r="M17">
        <v>3070</v>
      </c>
      <c r="N17" s="1">
        <f t="shared" si="5"/>
        <v>2344</v>
      </c>
      <c r="O17" s="1">
        <f t="shared" si="6"/>
        <v>2918</v>
      </c>
      <c r="P17" s="21">
        <f t="shared" si="7"/>
        <v>2715.0425713965051</v>
      </c>
      <c r="Q17" s="21">
        <f t="shared" si="8"/>
        <v>2671.9149176311889</v>
      </c>
      <c r="R17" s="19">
        <f t="shared" si="9"/>
        <v>1.1489886821402746</v>
      </c>
      <c r="S17" s="40">
        <f t="shared" si="10"/>
        <v>0.48425936805290692</v>
      </c>
      <c r="W17" s="1">
        <v>290</v>
      </c>
      <c r="X17" s="22">
        <v>2.1999999999999999E-2</v>
      </c>
      <c r="Y17" s="1">
        <v>4</v>
      </c>
      <c r="AB17" s="21">
        <f t="shared" si="11"/>
        <v>2533.6025835350506</v>
      </c>
      <c r="AC17" s="1">
        <f t="shared" si="12"/>
        <v>0.27086486302246054</v>
      </c>
      <c r="AD17" s="1">
        <f t="shared" si="13"/>
        <v>1.1362521924274775</v>
      </c>
      <c r="AE17" s="1">
        <f t="shared" si="14"/>
        <v>0.8854324315112303</v>
      </c>
      <c r="AF17" s="1">
        <f t="shared" si="15"/>
        <v>1.1362521924274775</v>
      </c>
      <c r="AG17" s="1">
        <f t="shared" si="16"/>
        <v>0.8854324315112303</v>
      </c>
      <c r="AH17" s="20">
        <f t="shared" si="17"/>
        <v>0.9841152937270029</v>
      </c>
      <c r="AI17" s="19">
        <f t="shared" si="18"/>
        <v>1.1362521924274775</v>
      </c>
    </row>
    <row r="18" spans="1:35">
      <c r="A18" s="17" t="s">
        <v>94</v>
      </c>
      <c r="B18">
        <v>219</v>
      </c>
      <c r="C18" s="19">
        <v>7</v>
      </c>
      <c r="D18" s="1">
        <v>273</v>
      </c>
      <c r="E18" s="1">
        <v>200</v>
      </c>
      <c r="F18" s="4">
        <v>38.200000000000003</v>
      </c>
      <c r="G18" s="4">
        <f t="shared" si="0"/>
        <v>34.818918178430394</v>
      </c>
      <c r="H18">
        <v>1420</v>
      </c>
      <c r="I18" s="4">
        <f t="shared" si="1"/>
        <v>6.4840182648401825</v>
      </c>
      <c r="J18" s="20">
        <f t="shared" si="2"/>
        <v>0.27129510543860014</v>
      </c>
      <c r="K18" s="41">
        <f t="shared" si="3"/>
        <v>31.285714285714285</v>
      </c>
      <c r="L18" s="40">
        <f t="shared" si="4"/>
        <v>0.4038297872340425</v>
      </c>
      <c r="M18">
        <v>3070</v>
      </c>
      <c r="N18" s="1">
        <f t="shared" si="5"/>
        <v>2344</v>
      </c>
      <c r="O18" s="1">
        <f t="shared" si="6"/>
        <v>2918</v>
      </c>
      <c r="P18" s="21">
        <f t="shared" si="7"/>
        <v>2715.0425713965051</v>
      </c>
      <c r="Q18" s="21">
        <f t="shared" si="8"/>
        <v>2671.9149176311889</v>
      </c>
      <c r="R18" s="19">
        <f t="shared" si="9"/>
        <v>1.1489886821402746</v>
      </c>
      <c r="S18" s="40">
        <f t="shared" si="10"/>
        <v>0.48425936805290692</v>
      </c>
      <c r="W18" s="1">
        <v>290</v>
      </c>
      <c r="X18" s="22">
        <v>2.1999999999999999E-2</v>
      </c>
      <c r="Y18" s="1">
        <v>4</v>
      </c>
      <c r="AB18" s="21">
        <f t="shared" si="11"/>
        <v>2533.6025835350506</v>
      </c>
      <c r="AC18" s="1">
        <f t="shared" si="12"/>
        <v>0.27086486302246054</v>
      </c>
      <c r="AD18" s="1">
        <f t="shared" si="13"/>
        <v>1.1362521924274775</v>
      </c>
      <c r="AE18" s="1">
        <f t="shared" si="14"/>
        <v>0.8854324315112303</v>
      </c>
      <c r="AF18" s="1">
        <f t="shared" si="15"/>
        <v>1.1362521924274775</v>
      </c>
      <c r="AG18" s="1">
        <f t="shared" si="16"/>
        <v>0.8854324315112303</v>
      </c>
      <c r="AH18" s="20">
        <f t="shared" si="17"/>
        <v>0.9841152937270029</v>
      </c>
      <c r="AI18" s="19">
        <f t="shared" si="18"/>
        <v>1.1362521924274775</v>
      </c>
    </row>
    <row r="19" spans="1:35">
      <c r="A19" s="17" t="s">
        <v>95</v>
      </c>
      <c r="B19">
        <v>219</v>
      </c>
      <c r="C19" s="19">
        <v>7</v>
      </c>
      <c r="D19" s="1">
        <v>273</v>
      </c>
      <c r="E19" s="1">
        <v>200</v>
      </c>
      <c r="F19" s="4">
        <v>38.200000000000003</v>
      </c>
      <c r="G19" s="4">
        <f t="shared" si="0"/>
        <v>34.818918178430394</v>
      </c>
      <c r="H19">
        <v>1640</v>
      </c>
      <c r="I19" s="4">
        <f t="shared" si="1"/>
        <v>7.4885844748858448</v>
      </c>
      <c r="J19" s="20">
        <f t="shared" si="2"/>
        <v>0.31332674149246781</v>
      </c>
      <c r="K19" s="41">
        <f t="shared" si="3"/>
        <v>31.285714285714285</v>
      </c>
      <c r="L19" s="40">
        <f t="shared" si="4"/>
        <v>0.4038297872340425</v>
      </c>
      <c r="M19">
        <v>2956</v>
      </c>
      <c r="N19" s="1">
        <f t="shared" si="5"/>
        <v>2344</v>
      </c>
      <c r="O19" s="1">
        <f t="shared" si="6"/>
        <v>2918</v>
      </c>
      <c r="P19" s="21">
        <f t="shared" si="7"/>
        <v>2638.0798817569275</v>
      </c>
      <c r="Q19" s="21">
        <f t="shared" si="8"/>
        <v>2570.4365337750096</v>
      </c>
      <c r="R19" s="19">
        <f t="shared" si="9"/>
        <v>1.1499992165372557</v>
      </c>
      <c r="S19" s="40">
        <f t="shared" si="10"/>
        <v>0.49838703101953874</v>
      </c>
      <c r="W19" s="1">
        <v>290</v>
      </c>
      <c r="X19" s="22">
        <v>2.1999999999999999E-2</v>
      </c>
      <c r="Y19" s="1">
        <v>4</v>
      </c>
      <c r="AB19" s="21">
        <f t="shared" si="11"/>
        <v>2533.6025835350506</v>
      </c>
      <c r="AC19" s="1">
        <f t="shared" si="12"/>
        <v>0.3128298418005882</v>
      </c>
      <c r="AD19" s="1">
        <f t="shared" si="13"/>
        <v>0.77631059534579605</v>
      </c>
      <c r="AE19" s="1">
        <f t="shared" si="14"/>
        <v>0.90641492090029407</v>
      </c>
      <c r="AF19" s="1">
        <f t="shared" si="15"/>
        <v>0.77631059534579605</v>
      </c>
      <c r="AG19" s="1">
        <f t="shared" si="16"/>
        <v>0.90641492090029407</v>
      </c>
      <c r="AH19" s="20">
        <f t="shared" si="17"/>
        <v>0.97435887046116731</v>
      </c>
      <c r="AI19" s="19">
        <f t="shared" si="18"/>
        <v>0.77631059534579605</v>
      </c>
    </row>
    <row r="20" spans="1:35">
      <c r="A20" s="17" t="s">
        <v>96</v>
      </c>
      <c r="B20">
        <v>219</v>
      </c>
      <c r="C20" s="19">
        <v>7</v>
      </c>
      <c r="D20" s="1">
        <v>273</v>
      </c>
      <c r="E20" s="1">
        <v>200</v>
      </c>
      <c r="F20" s="4">
        <v>38.200000000000003</v>
      </c>
      <c r="G20" s="4">
        <f t="shared" si="0"/>
        <v>34.818918178430394</v>
      </c>
      <c r="H20">
        <v>1640</v>
      </c>
      <c r="I20" s="4">
        <f t="shared" si="1"/>
        <v>7.4885844748858448</v>
      </c>
      <c r="J20" s="20">
        <f t="shared" si="2"/>
        <v>0.31332674149246781</v>
      </c>
      <c r="K20" s="41">
        <f t="shared" si="3"/>
        <v>31.285714285714285</v>
      </c>
      <c r="L20" s="40">
        <f t="shared" si="4"/>
        <v>0.4038297872340425</v>
      </c>
      <c r="M20">
        <v>2956</v>
      </c>
      <c r="N20" s="1">
        <f t="shared" si="5"/>
        <v>2344</v>
      </c>
      <c r="O20" s="1">
        <f t="shared" si="6"/>
        <v>2918</v>
      </c>
      <c r="P20" s="21">
        <f t="shared" si="7"/>
        <v>2638.0798817569275</v>
      </c>
      <c r="Q20" s="21">
        <f t="shared" si="8"/>
        <v>2570.4365337750096</v>
      </c>
      <c r="R20" s="19">
        <f t="shared" si="9"/>
        <v>1.1499992165372557</v>
      </c>
      <c r="S20" s="40">
        <f t="shared" si="10"/>
        <v>0.49838703101953874</v>
      </c>
      <c r="W20" s="1">
        <v>290</v>
      </c>
      <c r="X20" s="22">
        <v>2.1999999999999999E-2</v>
      </c>
      <c r="Y20" s="1">
        <v>4</v>
      </c>
      <c r="AB20" s="21">
        <f t="shared" si="11"/>
        <v>2533.6025835350506</v>
      </c>
      <c r="AC20" s="1">
        <f t="shared" si="12"/>
        <v>0.3128298418005882</v>
      </c>
      <c r="AD20" s="1">
        <f t="shared" si="13"/>
        <v>0.77631059534579605</v>
      </c>
      <c r="AE20" s="1">
        <f t="shared" si="14"/>
        <v>0.90641492090029407</v>
      </c>
      <c r="AF20" s="1">
        <f t="shared" si="15"/>
        <v>0.77631059534579605</v>
      </c>
      <c r="AG20" s="1">
        <f t="shared" si="16"/>
        <v>0.90641492090029407</v>
      </c>
      <c r="AH20" s="20">
        <f t="shared" si="17"/>
        <v>0.97435887046116731</v>
      </c>
      <c r="AI20" s="19">
        <f t="shared" si="18"/>
        <v>0.77631059534579605</v>
      </c>
    </row>
    <row r="21" spans="1:35">
      <c r="A21" s="17" t="s">
        <v>97</v>
      </c>
      <c r="B21">
        <v>219</v>
      </c>
      <c r="C21" s="19">
        <v>7</v>
      </c>
      <c r="D21" s="1">
        <v>273</v>
      </c>
      <c r="E21" s="1">
        <v>200</v>
      </c>
      <c r="F21" s="4">
        <v>38.200000000000003</v>
      </c>
      <c r="G21" s="4">
        <f t="shared" si="0"/>
        <v>34.818918178430394</v>
      </c>
      <c r="H21">
        <v>1640</v>
      </c>
      <c r="I21" s="4">
        <f t="shared" si="1"/>
        <v>7.4885844748858448</v>
      </c>
      <c r="J21" s="20">
        <f t="shared" si="2"/>
        <v>0.31332674149246781</v>
      </c>
      <c r="K21" s="41">
        <f t="shared" si="3"/>
        <v>31.285714285714285</v>
      </c>
      <c r="L21" s="40">
        <f t="shared" si="4"/>
        <v>0.4038297872340425</v>
      </c>
      <c r="M21">
        <v>2956</v>
      </c>
      <c r="N21" s="1">
        <f t="shared" si="5"/>
        <v>2344</v>
      </c>
      <c r="O21" s="1">
        <f t="shared" si="6"/>
        <v>2918</v>
      </c>
      <c r="P21" s="21">
        <f t="shared" si="7"/>
        <v>2638.0798817569275</v>
      </c>
      <c r="Q21" s="21">
        <f t="shared" si="8"/>
        <v>2570.4365337750096</v>
      </c>
      <c r="R21" s="19">
        <f t="shared" si="9"/>
        <v>1.1499992165372557</v>
      </c>
      <c r="S21" s="40">
        <f t="shared" si="10"/>
        <v>0.49838703101953874</v>
      </c>
      <c r="W21" s="1">
        <v>290</v>
      </c>
      <c r="X21" s="22">
        <v>2.1999999999999999E-2</v>
      </c>
      <c r="Y21" s="1">
        <v>4</v>
      </c>
      <c r="AB21" s="21">
        <f t="shared" si="11"/>
        <v>2533.6025835350506</v>
      </c>
      <c r="AC21" s="1">
        <f t="shared" si="12"/>
        <v>0.3128298418005882</v>
      </c>
      <c r="AD21" s="1">
        <f t="shared" si="13"/>
        <v>0.77631059534579605</v>
      </c>
      <c r="AE21" s="1">
        <f t="shared" si="14"/>
        <v>0.90641492090029407</v>
      </c>
      <c r="AF21" s="1">
        <f t="shared" si="15"/>
        <v>0.77631059534579605</v>
      </c>
      <c r="AG21" s="1">
        <f t="shared" si="16"/>
        <v>0.90641492090029407</v>
      </c>
      <c r="AH21" s="20">
        <f t="shared" si="17"/>
        <v>0.97435887046116731</v>
      </c>
      <c r="AI21" s="19">
        <f t="shared" si="18"/>
        <v>0.77631059534579605</v>
      </c>
    </row>
    <row r="22" spans="1:35">
      <c r="Q22" s="15" t="s">
        <v>98</v>
      </c>
      <c r="R22" s="43">
        <f>COUNT(R10:R21)</f>
        <v>12</v>
      </c>
      <c r="S22" s="43"/>
    </row>
    <row r="23" spans="1:35">
      <c r="Q23" s="15" t="s">
        <v>99</v>
      </c>
      <c r="R23" s="43">
        <f>COUNTIF(R10:R21,"&lt;1")</f>
        <v>0</v>
      </c>
      <c r="S23" s="43">
        <f>COUNTIF(S10:S21,"&lt;0.2")</f>
        <v>0</v>
      </c>
      <c r="T23" t="s">
        <v>100</v>
      </c>
    </row>
    <row r="24" spans="1:35">
      <c r="S24">
        <f>COUNTIF(S10:S21,"&gt;0.9")</f>
        <v>0</v>
      </c>
      <c r="T24" t="s">
        <v>101</v>
      </c>
    </row>
  </sheetData>
  <mergeCells count="1">
    <mergeCell ref="A1:I1"/>
  </mergeCells>
  <phoneticPr fontId="0" type="noConversion"/>
  <pageMargins left="0.75" right="0.75" top="1" bottom="1" header="0.5" footer="0.5"/>
  <pageSetup paperSize="9" scale="57" orientation="landscape" horizontalDpi="300" verticalDpi="0" copies="0" r:id="rId1"/>
  <headerFooter alignWithMargins="0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topLeftCell="A4" zoomScaleNormal="100" workbookViewId="0" xr3:uid="{958C4451-9541-5A59-BF78-D2F731DF1C81}">
      <selection activeCell="A3" sqref="A3"/>
    </sheetView>
  </sheetViews>
  <sheetFormatPr defaultRowHeight="12.75"/>
  <cols>
    <col min="1" max="1" width="14.7109375" customWidth="1"/>
  </cols>
  <sheetData>
    <row r="1" spans="1:10">
      <c r="A1" s="47" t="s">
        <v>102</v>
      </c>
      <c r="B1" s="47"/>
      <c r="C1" s="47"/>
      <c r="D1" s="47"/>
      <c r="E1" s="47"/>
      <c r="F1" s="47"/>
      <c r="G1" s="17"/>
      <c r="H1" s="17"/>
      <c r="J1" s="24"/>
    </row>
    <row r="2" spans="1:10">
      <c r="A2" s="47" t="s">
        <v>103</v>
      </c>
      <c r="B2" s="47"/>
      <c r="C2" s="3"/>
      <c r="D2" s="3"/>
      <c r="E2" s="3"/>
      <c r="F2" s="3"/>
      <c r="G2" s="3"/>
      <c r="H2" s="1"/>
      <c r="J2" s="24"/>
    </row>
    <row r="3" spans="1:10">
      <c r="A3" s="25"/>
      <c r="J3" s="24"/>
    </row>
    <row r="4" spans="1:10">
      <c r="A4" s="25"/>
      <c r="H4" s="10" t="s">
        <v>104</v>
      </c>
      <c r="I4" s="46" t="s">
        <v>105</v>
      </c>
      <c r="J4" s="26" t="s">
        <v>33</v>
      </c>
    </row>
    <row r="5" spans="1:10">
      <c r="A5" s="46" t="s">
        <v>36</v>
      </c>
      <c r="B5" s="46" t="s">
        <v>37</v>
      </c>
      <c r="C5" s="27" t="s">
        <v>38</v>
      </c>
      <c r="D5" s="16" t="s">
        <v>39</v>
      </c>
      <c r="E5" s="16" t="s">
        <v>40</v>
      </c>
      <c r="F5" s="16" t="s">
        <v>41</v>
      </c>
      <c r="G5" s="10" t="s">
        <v>43</v>
      </c>
      <c r="H5" s="10" t="s">
        <v>48</v>
      </c>
      <c r="I5" s="46" t="s">
        <v>31</v>
      </c>
      <c r="J5" s="28" t="s">
        <v>62</v>
      </c>
    </row>
    <row r="6" spans="1:10">
      <c r="A6" s="23"/>
      <c r="B6" s="10" t="s">
        <v>64</v>
      </c>
      <c r="C6" s="16" t="s">
        <v>64</v>
      </c>
      <c r="D6" s="16" t="s">
        <v>65</v>
      </c>
      <c r="E6" s="16" t="s">
        <v>66</v>
      </c>
      <c r="F6" s="16" t="s">
        <v>65</v>
      </c>
      <c r="G6" s="10" t="s">
        <v>64</v>
      </c>
      <c r="H6" s="10" t="s">
        <v>69</v>
      </c>
      <c r="I6" s="46" t="s">
        <v>71</v>
      </c>
      <c r="J6" s="24"/>
    </row>
    <row r="7" spans="1:10">
      <c r="A7" s="46" t="str">
        <f>Data!A9</f>
        <v>Bai &amp; Li</v>
      </c>
      <c r="B7" s="46">
        <f>Data!B9</f>
        <v>2006</v>
      </c>
      <c r="C7" s="38" t="s">
        <v>85</v>
      </c>
      <c r="D7" s="29"/>
      <c r="E7" s="30" t="s">
        <v>5</v>
      </c>
      <c r="F7" s="31"/>
      <c r="J7" s="24"/>
    </row>
    <row r="8" spans="1:10">
      <c r="A8" s="32" t="str">
        <f>Data!A10</f>
        <v>GZJ1-1</v>
      </c>
      <c r="B8" s="33">
        <f>Data!B10</f>
        <v>219</v>
      </c>
      <c r="C8" s="33">
        <f>Data!C10</f>
        <v>7</v>
      </c>
      <c r="D8" s="33">
        <f>Data!D10</f>
        <v>273</v>
      </c>
      <c r="E8" s="33">
        <f>Data!E10</f>
        <v>200</v>
      </c>
      <c r="F8" s="33">
        <f>Data!F10</f>
        <v>38.200000000000003</v>
      </c>
      <c r="G8" s="33">
        <f>Data!H10</f>
        <v>990</v>
      </c>
      <c r="H8" s="33">
        <f>Data!M10</f>
        <v>3278</v>
      </c>
      <c r="I8" s="34">
        <f>Data!Q10</f>
        <v>2915.2632508514098</v>
      </c>
      <c r="J8" s="35">
        <f>Data!R10</f>
        <v>1.1244267559859824</v>
      </c>
    </row>
    <row r="9" spans="1:10">
      <c r="A9" s="32" t="str">
        <f>Data!A11</f>
        <v>GZJ1-2</v>
      </c>
      <c r="B9" s="33">
        <f>Data!B11</f>
        <v>219</v>
      </c>
      <c r="C9" s="33">
        <f>Data!C11</f>
        <v>7</v>
      </c>
      <c r="D9" s="33">
        <f>Data!D11</f>
        <v>273</v>
      </c>
      <c r="E9" s="33">
        <f>Data!E11</f>
        <v>200</v>
      </c>
      <c r="F9" s="33">
        <f>Data!F11</f>
        <v>38.200000000000003</v>
      </c>
      <c r="G9" s="33">
        <f>Data!H11</f>
        <v>990</v>
      </c>
      <c r="H9" s="33">
        <f>Data!M11</f>
        <v>3278</v>
      </c>
      <c r="I9" s="34">
        <f>Data!Q11</f>
        <v>2915.2632508514098</v>
      </c>
      <c r="J9" s="35">
        <f>Data!R11</f>
        <v>1.1244267559859824</v>
      </c>
    </row>
    <row r="10" spans="1:10">
      <c r="A10" s="32" t="str">
        <f>Data!A12</f>
        <v>GZJ1-3</v>
      </c>
      <c r="B10" s="33">
        <f>Data!B12</f>
        <v>219</v>
      </c>
      <c r="C10" s="33">
        <f>Data!C12</f>
        <v>7</v>
      </c>
      <c r="D10" s="33">
        <f>Data!D12</f>
        <v>273</v>
      </c>
      <c r="E10" s="33">
        <f>Data!E12</f>
        <v>200</v>
      </c>
      <c r="F10" s="33">
        <f>Data!F12</f>
        <v>38.200000000000003</v>
      </c>
      <c r="G10" s="33">
        <f>Data!H12</f>
        <v>990</v>
      </c>
      <c r="H10" s="33">
        <f>Data!M12</f>
        <v>3278</v>
      </c>
      <c r="I10" s="34">
        <f>Data!Q12</f>
        <v>2915.2632508514098</v>
      </c>
      <c r="J10" s="35">
        <f>Data!R12</f>
        <v>1.1244267559859824</v>
      </c>
    </row>
    <row r="11" spans="1:10">
      <c r="A11" s="32" t="str">
        <f>Data!A13</f>
        <v>GZJ2-1</v>
      </c>
      <c r="B11" s="33">
        <f>Data!B13</f>
        <v>219</v>
      </c>
      <c r="C11" s="33">
        <f>Data!C13</f>
        <v>7</v>
      </c>
      <c r="D11" s="33">
        <f>Data!D13</f>
        <v>273</v>
      </c>
      <c r="E11" s="33">
        <f>Data!E13</f>
        <v>200</v>
      </c>
      <c r="F11" s="33">
        <f>Data!F13</f>
        <v>38.200000000000003</v>
      </c>
      <c r="G11" s="33">
        <f>Data!H13</f>
        <v>1200</v>
      </c>
      <c r="H11" s="33">
        <f>Data!M13</f>
        <v>3200</v>
      </c>
      <c r="I11" s="34">
        <f>Data!Q13</f>
        <v>2791.1527487653766</v>
      </c>
      <c r="J11" s="35">
        <f>Data!R13</f>
        <v>1.1464797121603147</v>
      </c>
    </row>
    <row r="12" spans="1:10">
      <c r="A12" s="32" t="str">
        <f>Data!A14</f>
        <v>GZJ2-2</v>
      </c>
      <c r="B12" s="33">
        <f>Data!B14</f>
        <v>219</v>
      </c>
      <c r="C12" s="33">
        <f>Data!C14</f>
        <v>7</v>
      </c>
      <c r="D12" s="33">
        <f>Data!D14</f>
        <v>273</v>
      </c>
      <c r="E12" s="33">
        <f>Data!E14</f>
        <v>200</v>
      </c>
      <c r="F12" s="33">
        <f>Data!F14</f>
        <v>38.200000000000003</v>
      </c>
      <c r="G12" s="33">
        <f>Data!H14</f>
        <v>1200</v>
      </c>
      <c r="H12" s="33">
        <f>Data!M14</f>
        <v>3200</v>
      </c>
      <c r="I12" s="34">
        <f>Data!Q14</f>
        <v>2791.1527487653766</v>
      </c>
      <c r="J12" s="35">
        <f>Data!R14</f>
        <v>1.1464797121603147</v>
      </c>
    </row>
    <row r="13" spans="1:10">
      <c r="A13" s="32" t="str">
        <f>Data!A15</f>
        <v>GZJ2-3</v>
      </c>
      <c r="B13" s="33">
        <f>Data!B15</f>
        <v>219</v>
      </c>
      <c r="C13" s="33">
        <f>Data!C15</f>
        <v>7</v>
      </c>
      <c r="D13" s="33">
        <f>Data!D15</f>
        <v>273</v>
      </c>
      <c r="E13" s="33">
        <f>Data!E15</f>
        <v>200</v>
      </c>
      <c r="F13" s="33">
        <f>Data!F15</f>
        <v>38.200000000000003</v>
      </c>
      <c r="G13" s="33">
        <f>Data!H15</f>
        <v>1200</v>
      </c>
      <c r="H13" s="33">
        <f>Data!M15</f>
        <v>3200</v>
      </c>
      <c r="I13" s="34">
        <f>Data!Q15</f>
        <v>2791.1527487653766</v>
      </c>
      <c r="J13" s="35">
        <f>Data!R15</f>
        <v>1.1464797121603147</v>
      </c>
    </row>
    <row r="14" spans="1:10">
      <c r="A14" s="32" t="str">
        <f>Data!A16</f>
        <v>GZJ3-1</v>
      </c>
      <c r="B14" s="33">
        <f>Data!B16</f>
        <v>219</v>
      </c>
      <c r="C14" s="33">
        <f>Data!C16</f>
        <v>7</v>
      </c>
      <c r="D14" s="33">
        <f>Data!D16</f>
        <v>273</v>
      </c>
      <c r="E14" s="33">
        <f>Data!E16</f>
        <v>200</v>
      </c>
      <c r="F14" s="33">
        <f>Data!F16</f>
        <v>38.200000000000003</v>
      </c>
      <c r="G14" s="33">
        <f>Data!H16</f>
        <v>1420</v>
      </c>
      <c r="H14" s="33">
        <f>Data!M16</f>
        <v>3070</v>
      </c>
      <c r="I14" s="34">
        <f>Data!Q16</f>
        <v>2671.9149176311889</v>
      </c>
      <c r="J14" s="35">
        <f>Data!R16</f>
        <v>1.1489886821402746</v>
      </c>
    </row>
    <row r="15" spans="1:10">
      <c r="A15" s="32" t="str">
        <f>Data!A17</f>
        <v>GZJ3-2</v>
      </c>
      <c r="B15" s="33">
        <f>Data!B17</f>
        <v>219</v>
      </c>
      <c r="C15" s="33">
        <f>Data!C17</f>
        <v>7</v>
      </c>
      <c r="D15" s="33">
        <f>Data!D17</f>
        <v>273</v>
      </c>
      <c r="E15" s="33">
        <f>Data!E17</f>
        <v>200</v>
      </c>
      <c r="F15" s="33">
        <f>Data!F17</f>
        <v>38.200000000000003</v>
      </c>
      <c r="G15" s="33">
        <f>Data!H17</f>
        <v>1420</v>
      </c>
      <c r="H15" s="33">
        <f>Data!M17</f>
        <v>3070</v>
      </c>
      <c r="I15" s="34">
        <f>Data!Q17</f>
        <v>2671.9149176311889</v>
      </c>
      <c r="J15" s="35">
        <f>Data!R17</f>
        <v>1.1489886821402746</v>
      </c>
    </row>
    <row r="16" spans="1:10">
      <c r="A16" s="32" t="str">
        <f>Data!A18</f>
        <v>GZJ3-3</v>
      </c>
      <c r="B16" s="33">
        <f>Data!B18</f>
        <v>219</v>
      </c>
      <c r="C16" s="33">
        <f>Data!C18</f>
        <v>7</v>
      </c>
      <c r="D16" s="33">
        <f>Data!D18</f>
        <v>273</v>
      </c>
      <c r="E16" s="33">
        <f>Data!E18</f>
        <v>200</v>
      </c>
      <c r="F16" s="33">
        <f>Data!F18</f>
        <v>38.200000000000003</v>
      </c>
      <c r="G16" s="33">
        <f>Data!H18</f>
        <v>1420</v>
      </c>
      <c r="H16" s="33">
        <f>Data!M18</f>
        <v>3070</v>
      </c>
      <c r="I16" s="34">
        <f>Data!Q18</f>
        <v>2671.9149176311889</v>
      </c>
      <c r="J16" s="35">
        <f>Data!R18</f>
        <v>1.1489886821402746</v>
      </c>
    </row>
    <row r="17" spans="1:10">
      <c r="A17" s="32" t="str">
        <f>Data!A19</f>
        <v>GZJ4-1</v>
      </c>
      <c r="B17" s="33">
        <f>Data!B19</f>
        <v>219</v>
      </c>
      <c r="C17" s="33">
        <f>Data!C19</f>
        <v>7</v>
      </c>
      <c r="D17" s="33">
        <f>Data!D19</f>
        <v>273</v>
      </c>
      <c r="E17" s="33">
        <f>Data!E19</f>
        <v>200</v>
      </c>
      <c r="F17" s="33">
        <f>Data!F19</f>
        <v>38.200000000000003</v>
      </c>
      <c r="G17" s="33">
        <f>Data!H19</f>
        <v>1640</v>
      </c>
      <c r="H17" s="33">
        <f>Data!M19</f>
        <v>2956</v>
      </c>
      <c r="I17" s="34">
        <f>Data!Q19</f>
        <v>2570.4365337750096</v>
      </c>
      <c r="J17" s="35">
        <f>Data!R19</f>
        <v>1.1499992165372557</v>
      </c>
    </row>
    <row r="18" spans="1:10">
      <c r="A18" s="32" t="str">
        <f>Data!A20</f>
        <v>GZJ4-2</v>
      </c>
      <c r="B18" s="33">
        <f>Data!B20</f>
        <v>219</v>
      </c>
      <c r="C18" s="33">
        <f>Data!C20</f>
        <v>7</v>
      </c>
      <c r="D18" s="33">
        <f>Data!D20</f>
        <v>273</v>
      </c>
      <c r="E18" s="33">
        <f>Data!E20</f>
        <v>200</v>
      </c>
      <c r="F18" s="33">
        <f>Data!F20</f>
        <v>38.200000000000003</v>
      </c>
      <c r="G18" s="33">
        <f>Data!H20</f>
        <v>1640</v>
      </c>
      <c r="H18" s="33">
        <f>Data!M20</f>
        <v>2956</v>
      </c>
      <c r="I18" s="34">
        <f>Data!Q20</f>
        <v>2570.4365337750096</v>
      </c>
      <c r="J18" s="35">
        <f>Data!R20</f>
        <v>1.1499992165372557</v>
      </c>
    </row>
    <row r="19" spans="1:10">
      <c r="A19" s="32" t="str">
        <f>Data!A21</f>
        <v>GZJ4-3</v>
      </c>
      <c r="B19" s="33">
        <f>Data!B21</f>
        <v>219</v>
      </c>
      <c r="C19" s="33">
        <f>Data!C21</f>
        <v>7</v>
      </c>
      <c r="D19" s="33">
        <f>Data!D21</f>
        <v>273</v>
      </c>
      <c r="E19" s="33">
        <f>Data!E21</f>
        <v>200</v>
      </c>
      <c r="F19" s="33">
        <f>Data!F21</f>
        <v>38.200000000000003</v>
      </c>
      <c r="G19" s="33">
        <f>Data!H21</f>
        <v>1640</v>
      </c>
      <c r="H19" s="33">
        <f>Data!M21</f>
        <v>2956</v>
      </c>
      <c r="I19" s="34">
        <f>Data!Q21</f>
        <v>2570.4365337750096</v>
      </c>
      <c r="J19" s="35">
        <f>Data!R21</f>
        <v>1.1499992165372557</v>
      </c>
    </row>
    <row r="20" spans="1:10">
      <c r="A20" s="46"/>
      <c r="I20" s="11" t="s">
        <v>106</v>
      </c>
      <c r="J20" s="37">
        <f>AVERAGE(J8:J19)</f>
        <v>1.1424735917059567</v>
      </c>
    </row>
    <row r="21" spans="1:10">
      <c r="A21" s="46"/>
      <c r="I21" t="s">
        <v>107</v>
      </c>
      <c r="J21" s="36">
        <f>STDEV(J8:J19)</f>
        <v>1.0964637950338814E-2</v>
      </c>
    </row>
    <row r="22" spans="1:10">
      <c r="A22" s="46"/>
    </row>
    <row r="23" spans="1:10">
      <c r="A23" s="46"/>
    </row>
    <row r="24" spans="1:10">
      <c r="A24" s="46"/>
    </row>
  </sheetData>
  <mergeCells count="2">
    <mergeCell ref="A1:F1"/>
    <mergeCell ref="A2:B2"/>
  </mergeCells>
  <phoneticPr fontId="0" type="noConversion"/>
  <pageMargins left="0.75" right="0.75" top="1" bottom="1" header="0.5" footer="0.5"/>
  <pageSetup paperSize="9" scale="90" orientation="portrait" horizontalDpi="30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Goode</dc:creator>
  <cp:keywords/>
  <dc:description/>
  <cp:lastModifiedBy>X</cp:lastModifiedBy>
  <cp:revision/>
  <dcterms:created xsi:type="dcterms:W3CDTF">2006-12-12T12:29:35Z</dcterms:created>
  <dcterms:modified xsi:type="dcterms:W3CDTF">2018-11-09T15:14:35Z</dcterms:modified>
  <cp:category/>
  <cp:contentStatus/>
</cp:coreProperties>
</file>