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BAB\"/>
    </mc:Choice>
  </mc:AlternateContent>
  <xr:revisionPtr revIDLastSave="0" documentId="8_{D6861A7C-C8FA-4EE5-BB04-C6AF6C5CADA9}" xr6:coauthVersionLast="40" xr6:coauthVersionMax="40" xr10:uidLastSave="{00000000-0000-0000-0000-000000000000}"/>
  <bookViews>
    <workbookView xWindow="75" yWindow="90" windowWidth="10950" windowHeight="6210" firstSheet="1" activeTab="1" xr2:uid="{00000000-000D-0000-FFFF-FFFF00000000}"/>
  </bookViews>
  <sheets>
    <sheet name="Data" sheetId="1" r:id="rId1"/>
    <sheet name="Summary" sheetId="2" r:id="rId2"/>
    <sheet name="Graph EC4" sheetId="4" r:id="rId3"/>
    <sheet name="Graph CDG" sheetId="5" r:id="rId4"/>
    <sheet name="v fcyl" sheetId="6" r:id="rId5"/>
  </sheets>
  <definedNames>
    <definedName name="_xlnm.Print_Area" localSheetId="0">Data!$A$1:$AD$43</definedName>
  </definedNames>
  <calcPr calcId="179020" calcCompleted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J8" i="1"/>
  <c r="AE8" i="1"/>
  <c r="AF8" i="1"/>
  <c r="AG8" i="1"/>
  <c r="AH8" i="1"/>
  <c r="AB8" i="1"/>
  <c r="AI8" i="1"/>
  <c r="AJ8" i="1"/>
  <c r="K8" i="1"/>
  <c r="L8" i="1"/>
  <c r="M8" i="1"/>
  <c r="U8" i="1"/>
  <c r="V8" i="1"/>
  <c r="Y8" i="1"/>
  <c r="Z8" i="1"/>
  <c r="AC8" i="1"/>
  <c r="AD8" i="1"/>
  <c r="H9" i="1"/>
  <c r="J9" i="1"/>
  <c r="AE9" i="1"/>
  <c r="AF9" i="1"/>
  <c r="AG9" i="1"/>
  <c r="AH9" i="1"/>
  <c r="AB9" i="1"/>
  <c r="AI9" i="1"/>
  <c r="AJ9" i="1"/>
  <c r="K9" i="1"/>
  <c r="L9" i="1"/>
  <c r="M9" i="1"/>
  <c r="U9" i="1"/>
  <c r="V9" i="1"/>
  <c r="Y9" i="1"/>
  <c r="Z9" i="1"/>
  <c r="AC9" i="1"/>
  <c r="AD9" i="1"/>
  <c r="H10" i="1"/>
  <c r="J10" i="1"/>
  <c r="AE10" i="1"/>
  <c r="AF10" i="1"/>
  <c r="AG10" i="1"/>
  <c r="AH10" i="1"/>
  <c r="AB10" i="1"/>
  <c r="AI10" i="1"/>
  <c r="AJ10" i="1"/>
  <c r="K10" i="1"/>
  <c r="L10" i="1"/>
  <c r="M10" i="1"/>
  <c r="U10" i="1"/>
  <c r="V10" i="1"/>
  <c r="Y10" i="1"/>
  <c r="Z10" i="1"/>
  <c r="AC10" i="1"/>
  <c r="AD10" i="1"/>
  <c r="H11" i="1"/>
  <c r="J11" i="1"/>
  <c r="AE11" i="1"/>
  <c r="AF11" i="1"/>
  <c r="AG11" i="1"/>
  <c r="AH11" i="1"/>
  <c r="AB11" i="1"/>
  <c r="AI11" i="1"/>
  <c r="AJ11" i="1"/>
  <c r="K11" i="1"/>
  <c r="L11" i="1"/>
  <c r="M11" i="1"/>
  <c r="U11" i="1"/>
  <c r="V11" i="1"/>
  <c r="Y11" i="1"/>
  <c r="Z11" i="1"/>
  <c r="AC11" i="1"/>
  <c r="AD11" i="1"/>
  <c r="H12" i="1"/>
  <c r="J12" i="1"/>
  <c r="AE12" i="1"/>
  <c r="AF12" i="1"/>
  <c r="AG12" i="1"/>
  <c r="AH12" i="1"/>
  <c r="AB12" i="1"/>
  <c r="AI12" i="1"/>
  <c r="AJ12" i="1"/>
  <c r="K12" i="1"/>
  <c r="L12" i="1"/>
  <c r="M12" i="1"/>
  <c r="U12" i="1"/>
  <c r="V12" i="1"/>
  <c r="Y12" i="1"/>
  <c r="Z12" i="1"/>
  <c r="AC12" i="1"/>
  <c r="AD12" i="1"/>
  <c r="H13" i="1"/>
  <c r="J13" i="1"/>
  <c r="AE13" i="1"/>
  <c r="AF13" i="1"/>
  <c r="AG13" i="1"/>
  <c r="AH13" i="1"/>
  <c r="AB13" i="1"/>
  <c r="AI13" i="1"/>
  <c r="AJ13" i="1"/>
  <c r="K13" i="1"/>
  <c r="L13" i="1"/>
  <c r="M13" i="1"/>
  <c r="U13" i="1"/>
  <c r="V13" i="1"/>
  <c r="Y13" i="1"/>
  <c r="Z13" i="1"/>
  <c r="AC13" i="1"/>
  <c r="AD13" i="1"/>
  <c r="H14" i="1"/>
  <c r="J14" i="1"/>
  <c r="AE14" i="1"/>
  <c r="AF14" i="1"/>
  <c r="AG14" i="1"/>
  <c r="AH14" i="1"/>
  <c r="AB14" i="1"/>
  <c r="AI14" i="1"/>
  <c r="AJ14" i="1"/>
  <c r="K14" i="1"/>
  <c r="L14" i="1"/>
  <c r="M14" i="1"/>
  <c r="U14" i="1"/>
  <c r="V14" i="1"/>
  <c r="Y14" i="1"/>
  <c r="Z14" i="1"/>
  <c r="AC14" i="1"/>
  <c r="AD14" i="1"/>
  <c r="H15" i="1"/>
  <c r="J15" i="1"/>
  <c r="AE15" i="1"/>
  <c r="AF15" i="1"/>
  <c r="AG15" i="1"/>
  <c r="AH15" i="1"/>
  <c r="AB15" i="1"/>
  <c r="AI15" i="1"/>
  <c r="AJ15" i="1"/>
  <c r="K15" i="1"/>
  <c r="L15" i="1"/>
  <c r="M15" i="1"/>
  <c r="U15" i="1"/>
  <c r="V15" i="1"/>
  <c r="Y15" i="1"/>
  <c r="Z15" i="1"/>
  <c r="AC15" i="1"/>
  <c r="AD15" i="1"/>
  <c r="H16" i="1"/>
  <c r="J16" i="1"/>
  <c r="AE16" i="1"/>
  <c r="AF16" i="1"/>
  <c r="AG16" i="1"/>
  <c r="AH16" i="1"/>
  <c r="AB16" i="1"/>
  <c r="AI16" i="1"/>
  <c r="AJ16" i="1"/>
  <c r="K16" i="1"/>
  <c r="L16" i="1"/>
  <c r="M16" i="1"/>
  <c r="U16" i="1"/>
  <c r="V16" i="1"/>
  <c r="Y16" i="1"/>
  <c r="Z16" i="1"/>
  <c r="AC16" i="1"/>
  <c r="AD16" i="1"/>
  <c r="H17" i="1"/>
  <c r="J17" i="1"/>
  <c r="AE17" i="1"/>
  <c r="AF17" i="1"/>
  <c r="AG17" i="1"/>
  <c r="AH17" i="1"/>
  <c r="AB17" i="1"/>
  <c r="AI17" i="1"/>
  <c r="AJ17" i="1"/>
  <c r="K17" i="1"/>
  <c r="L17" i="1"/>
  <c r="M17" i="1"/>
  <c r="U17" i="1"/>
  <c r="V17" i="1"/>
  <c r="Y17" i="1"/>
  <c r="Z17" i="1"/>
  <c r="AC17" i="1"/>
  <c r="AD17" i="1"/>
  <c r="H18" i="1"/>
  <c r="J18" i="1"/>
  <c r="AE18" i="1"/>
  <c r="AF18" i="1"/>
  <c r="AG18" i="1"/>
  <c r="AH18" i="1"/>
  <c r="AB18" i="1"/>
  <c r="AI18" i="1"/>
  <c r="AJ18" i="1"/>
  <c r="K18" i="1"/>
  <c r="L18" i="1"/>
  <c r="M18" i="1"/>
  <c r="U18" i="1"/>
  <c r="V18" i="1"/>
  <c r="Y18" i="1"/>
  <c r="Z18" i="1"/>
  <c r="AC18" i="1"/>
  <c r="AD18" i="1"/>
  <c r="H19" i="1"/>
  <c r="J19" i="1"/>
  <c r="AE19" i="1"/>
  <c r="AF19" i="1"/>
  <c r="AG19" i="1"/>
  <c r="AH19" i="1"/>
  <c r="AB19" i="1"/>
  <c r="AI19" i="1"/>
  <c r="AJ19" i="1"/>
  <c r="K19" i="1"/>
  <c r="L19" i="1"/>
  <c r="M19" i="1"/>
  <c r="U19" i="1"/>
  <c r="V19" i="1"/>
  <c r="Y19" i="1"/>
  <c r="Z19" i="1"/>
  <c r="AC19" i="1"/>
  <c r="AD19" i="1"/>
  <c r="H20" i="1"/>
  <c r="J20" i="1"/>
  <c r="AE20" i="1"/>
  <c r="AF20" i="1"/>
  <c r="AG20" i="1"/>
  <c r="AH20" i="1"/>
  <c r="AB20" i="1"/>
  <c r="AI20" i="1"/>
  <c r="AJ20" i="1"/>
  <c r="K20" i="1"/>
  <c r="L20" i="1"/>
  <c r="M20" i="1"/>
  <c r="U20" i="1"/>
  <c r="V20" i="1"/>
  <c r="Y20" i="1"/>
  <c r="Z20" i="1"/>
  <c r="AC20" i="1"/>
  <c r="AD20" i="1"/>
  <c r="H21" i="1"/>
  <c r="J21" i="1"/>
  <c r="AE21" i="1"/>
  <c r="AF21" i="1"/>
  <c r="AG21" i="1"/>
  <c r="AH21" i="1"/>
  <c r="AB21" i="1"/>
  <c r="AI21" i="1"/>
  <c r="AJ21" i="1"/>
  <c r="K21" i="1"/>
  <c r="L21" i="1"/>
  <c r="M21" i="1"/>
  <c r="U21" i="1"/>
  <c r="V21" i="1"/>
  <c r="Y21" i="1"/>
  <c r="Z21" i="1"/>
  <c r="AC21" i="1"/>
  <c r="AD21" i="1"/>
  <c r="H22" i="1"/>
  <c r="J22" i="1"/>
  <c r="AE22" i="1"/>
  <c r="AF22" i="1"/>
  <c r="AG22" i="1"/>
  <c r="AH22" i="1"/>
  <c r="AB22" i="1"/>
  <c r="AI22" i="1"/>
  <c r="AJ22" i="1"/>
  <c r="K22" i="1"/>
  <c r="L22" i="1"/>
  <c r="M22" i="1"/>
  <c r="U22" i="1"/>
  <c r="V22" i="1"/>
  <c r="Y22" i="1"/>
  <c r="Z22" i="1"/>
  <c r="AC22" i="1"/>
  <c r="AD22" i="1"/>
  <c r="H23" i="1"/>
  <c r="J23" i="1"/>
  <c r="AE23" i="1"/>
  <c r="AF23" i="1"/>
  <c r="AG23" i="1"/>
  <c r="AH23" i="1"/>
  <c r="AB23" i="1"/>
  <c r="AI23" i="1"/>
  <c r="AJ23" i="1"/>
  <c r="K23" i="1"/>
  <c r="L23" i="1"/>
  <c r="M23" i="1"/>
  <c r="U23" i="1"/>
  <c r="V23" i="1"/>
  <c r="Y23" i="1"/>
  <c r="Z23" i="1"/>
  <c r="AC23" i="1"/>
  <c r="AD23" i="1"/>
  <c r="H24" i="1"/>
  <c r="J24" i="1"/>
  <c r="AE24" i="1"/>
  <c r="AF24" i="1"/>
  <c r="AG24" i="1"/>
  <c r="AH24" i="1"/>
  <c r="AB24" i="1"/>
  <c r="AI24" i="1"/>
  <c r="AJ24" i="1"/>
  <c r="K24" i="1"/>
  <c r="L24" i="1"/>
  <c r="M24" i="1"/>
  <c r="U24" i="1"/>
  <c r="V24" i="1"/>
  <c r="Y24" i="1"/>
  <c r="Z24" i="1"/>
  <c r="AC24" i="1"/>
  <c r="AD24" i="1"/>
  <c r="H25" i="1"/>
  <c r="J25" i="1"/>
  <c r="AE25" i="1"/>
  <c r="AF25" i="1"/>
  <c r="AG25" i="1"/>
  <c r="AH25" i="1"/>
  <c r="AB25" i="1"/>
  <c r="AI25" i="1"/>
  <c r="AJ25" i="1"/>
  <c r="K25" i="1"/>
  <c r="L25" i="1"/>
  <c r="M25" i="1"/>
  <c r="U25" i="1"/>
  <c r="V25" i="1"/>
  <c r="Y25" i="1"/>
  <c r="Z25" i="1"/>
  <c r="AC25" i="1"/>
  <c r="AD25" i="1"/>
  <c r="H26" i="1"/>
  <c r="J26" i="1"/>
  <c r="AE26" i="1"/>
  <c r="AF26" i="1"/>
  <c r="AG26" i="1"/>
  <c r="AH26" i="1"/>
  <c r="AB26" i="1"/>
  <c r="AI26" i="1"/>
  <c r="AJ26" i="1"/>
  <c r="K26" i="1"/>
  <c r="L26" i="1"/>
  <c r="M26" i="1"/>
  <c r="U26" i="1"/>
  <c r="V26" i="1"/>
  <c r="Y26" i="1"/>
  <c r="Z26" i="1"/>
  <c r="AC26" i="1"/>
  <c r="AD26" i="1"/>
  <c r="H27" i="1"/>
  <c r="J27" i="1"/>
  <c r="AE27" i="1"/>
  <c r="AF27" i="1"/>
  <c r="AG27" i="1"/>
  <c r="AH27" i="1"/>
  <c r="AB27" i="1"/>
  <c r="AI27" i="1"/>
  <c r="AJ27" i="1"/>
  <c r="K27" i="1"/>
  <c r="L27" i="1"/>
  <c r="M27" i="1"/>
  <c r="U27" i="1"/>
  <c r="V27" i="1"/>
  <c r="Y27" i="1"/>
  <c r="Z27" i="1"/>
  <c r="AC27" i="1"/>
  <c r="AD27" i="1"/>
  <c r="H28" i="1"/>
  <c r="J28" i="1"/>
  <c r="AE28" i="1"/>
  <c r="AF28" i="1"/>
  <c r="AG28" i="1"/>
  <c r="AH28" i="1"/>
  <c r="AB28" i="1"/>
  <c r="AI28" i="1"/>
  <c r="AJ28" i="1"/>
  <c r="K28" i="1"/>
  <c r="L28" i="1"/>
  <c r="M28" i="1"/>
  <c r="U28" i="1"/>
  <c r="V28" i="1"/>
  <c r="Y28" i="1"/>
  <c r="Z28" i="1"/>
  <c r="AC28" i="1"/>
  <c r="AD28" i="1"/>
  <c r="H31" i="1"/>
  <c r="J31" i="1"/>
  <c r="AE31" i="1"/>
  <c r="AF31" i="1"/>
  <c r="AG31" i="1"/>
  <c r="AH31" i="1"/>
  <c r="AB31" i="1"/>
  <c r="AI31" i="1"/>
  <c r="AJ31" i="1"/>
  <c r="K31" i="1"/>
  <c r="L31" i="1"/>
  <c r="M31" i="1"/>
  <c r="U31" i="1"/>
  <c r="Y31" i="1"/>
  <c r="AC31" i="1"/>
  <c r="AD31" i="1"/>
  <c r="H32" i="1"/>
  <c r="J32" i="1"/>
  <c r="AE32" i="1"/>
  <c r="AF32" i="1"/>
  <c r="AG32" i="1"/>
  <c r="AH32" i="1"/>
  <c r="AB32" i="1"/>
  <c r="AI32" i="1"/>
  <c r="AJ32" i="1"/>
  <c r="K32" i="1"/>
  <c r="L32" i="1"/>
  <c r="M32" i="1"/>
  <c r="U32" i="1"/>
  <c r="V32" i="1"/>
  <c r="Y32" i="1"/>
  <c r="Z32" i="1"/>
  <c r="AC32" i="1"/>
  <c r="AD32" i="1"/>
  <c r="H33" i="1"/>
  <c r="J33" i="1"/>
  <c r="AE33" i="1"/>
  <c r="AF33" i="1"/>
  <c r="AG33" i="1"/>
  <c r="AH33" i="1"/>
  <c r="AB33" i="1"/>
  <c r="AI33" i="1"/>
  <c r="AJ33" i="1"/>
  <c r="K33" i="1"/>
  <c r="L33" i="1"/>
  <c r="M33" i="1"/>
  <c r="U33" i="1"/>
  <c r="V33" i="1"/>
  <c r="Y33" i="1"/>
  <c r="Z33" i="1"/>
  <c r="AC33" i="1"/>
  <c r="AD33" i="1"/>
  <c r="H34" i="1"/>
  <c r="J34" i="1"/>
  <c r="AE34" i="1"/>
  <c r="AF34" i="1"/>
  <c r="AG34" i="1"/>
  <c r="AH34" i="1"/>
  <c r="AB34" i="1"/>
  <c r="AI34" i="1"/>
  <c r="AJ34" i="1"/>
  <c r="K34" i="1"/>
  <c r="L34" i="1"/>
  <c r="M34" i="1"/>
  <c r="U34" i="1"/>
  <c r="V34" i="1"/>
  <c r="Y34" i="1"/>
  <c r="Z34" i="1"/>
  <c r="AC34" i="1"/>
  <c r="AD34" i="1"/>
  <c r="H35" i="1"/>
  <c r="J35" i="1"/>
  <c r="AE35" i="1"/>
  <c r="AF35" i="1"/>
  <c r="AG35" i="1"/>
  <c r="AH35" i="1"/>
  <c r="AB35" i="1"/>
  <c r="AI35" i="1"/>
  <c r="AJ35" i="1"/>
  <c r="K35" i="1"/>
  <c r="L35" i="1"/>
  <c r="M35" i="1"/>
  <c r="U35" i="1"/>
  <c r="Y35" i="1"/>
  <c r="AC35" i="1"/>
  <c r="H36" i="1"/>
  <c r="J36" i="1"/>
  <c r="AE36" i="1"/>
  <c r="AF36" i="1"/>
  <c r="AG36" i="1"/>
  <c r="AH36" i="1"/>
  <c r="AB36" i="1"/>
  <c r="AI36" i="1"/>
  <c r="AJ36" i="1"/>
  <c r="K36" i="1"/>
  <c r="L36" i="1"/>
  <c r="M36" i="1"/>
  <c r="V36" i="1"/>
  <c r="Z36" i="1"/>
  <c r="H37" i="1"/>
  <c r="J37" i="1"/>
  <c r="AE37" i="1"/>
  <c r="AF37" i="1"/>
  <c r="AG37" i="1"/>
  <c r="AH37" i="1"/>
  <c r="AB37" i="1"/>
  <c r="AI37" i="1"/>
  <c r="AJ37" i="1"/>
  <c r="K37" i="1"/>
  <c r="L37" i="1"/>
  <c r="M37" i="1"/>
  <c r="U37" i="1"/>
  <c r="Y37" i="1"/>
  <c r="AC37" i="1"/>
  <c r="AD37" i="1"/>
  <c r="H38" i="1"/>
  <c r="J38" i="1"/>
  <c r="AE38" i="1"/>
  <c r="AF38" i="1"/>
  <c r="AG38" i="1"/>
  <c r="AH38" i="1"/>
  <c r="AB38" i="1"/>
  <c r="AI38" i="1"/>
  <c r="AJ38" i="1"/>
  <c r="K38" i="1"/>
  <c r="L38" i="1"/>
  <c r="M38" i="1"/>
  <c r="U38" i="1"/>
  <c r="V38" i="1"/>
  <c r="Y38" i="1"/>
  <c r="Z38" i="1"/>
  <c r="AC38" i="1"/>
  <c r="AD38" i="1"/>
  <c r="H39" i="1"/>
  <c r="J39" i="1"/>
  <c r="AE39" i="1"/>
  <c r="AF39" i="1"/>
  <c r="AG39" i="1"/>
  <c r="AH39" i="1"/>
  <c r="AB39" i="1"/>
  <c r="AI39" i="1"/>
  <c r="AJ39" i="1"/>
  <c r="K39" i="1"/>
  <c r="L39" i="1"/>
  <c r="M39" i="1"/>
  <c r="U39" i="1"/>
  <c r="V39" i="1"/>
  <c r="Y39" i="1"/>
  <c r="Z39" i="1"/>
  <c r="AC39" i="1"/>
  <c r="AD39" i="1"/>
  <c r="H40" i="1"/>
  <c r="J40" i="1"/>
  <c r="AE40" i="1"/>
  <c r="AF40" i="1"/>
  <c r="AG40" i="1"/>
  <c r="AH40" i="1"/>
  <c r="AB40" i="1"/>
  <c r="AI40" i="1"/>
  <c r="AJ40" i="1"/>
  <c r="K40" i="1"/>
  <c r="L40" i="1"/>
  <c r="M40" i="1"/>
  <c r="U40" i="1"/>
  <c r="V40" i="1"/>
  <c r="Y40" i="1"/>
  <c r="Z40" i="1"/>
  <c r="AC40" i="1"/>
  <c r="AD40" i="1"/>
  <c r="H41" i="1"/>
  <c r="J41" i="1"/>
  <c r="AE41" i="1"/>
  <c r="AF41" i="1"/>
  <c r="AG41" i="1"/>
  <c r="AH41" i="1"/>
  <c r="AB41" i="1"/>
  <c r="AI41" i="1"/>
  <c r="AJ41" i="1"/>
  <c r="K41" i="1"/>
  <c r="L41" i="1"/>
  <c r="M41" i="1"/>
  <c r="U41" i="1"/>
  <c r="Y41" i="1"/>
  <c r="AC41" i="1"/>
  <c r="H42" i="1"/>
  <c r="J42" i="1"/>
  <c r="AE42" i="1"/>
  <c r="AF42" i="1"/>
  <c r="AG42" i="1"/>
  <c r="AH42" i="1"/>
  <c r="AB42" i="1"/>
  <c r="AI42" i="1"/>
  <c r="AJ42" i="1"/>
  <c r="K42" i="1"/>
  <c r="L42" i="1"/>
  <c r="M42" i="1"/>
  <c r="V42" i="1"/>
  <c r="Z42" i="1"/>
  <c r="G44" i="1"/>
  <c r="M44" i="1"/>
  <c r="N44" i="1" a="1"/>
  <c r="N44" i="1"/>
  <c r="AD44" i="1"/>
  <c r="G45" i="1"/>
  <c r="M45" i="1"/>
  <c r="N45" i="1" a="1"/>
  <c r="N45" i="1"/>
  <c r="AD45" i="1"/>
  <c r="G46" i="1"/>
  <c r="G47" i="1"/>
  <c r="H49" i="1"/>
  <c r="J49" i="1"/>
  <c r="AE49" i="1"/>
  <c r="AF49" i="1"/>
  <c r="AG49" i="1"/>
  <c r="AH49" i="1"/>
  <c r="AB49" i="1"/>
  <c r="AI49" i="1"/>
  <c r="AJ49" i="1"/>
  <c r="K49" i="1"/>
  <c r="L49" i="1"/>
  <c r="M49" i="1"/>
  <c r="U49" i="1"/>
  <c r="V49" i="1"/>
  <c r="Y49" i="1"/>
  <c r="Z49" i="1"/>
  <c r="AC49" i="1"/>
  <c r="AD49" i="1"/>
  <c r="H50" i="1"/>
  <c r="J50" i="1"/>
  <c r="AE50" i="1"/>
  <c r="AF50" i="1"/>
  <c r="AG50" i="1"/>
  <c r="AH50" i="1"/>
  <c r="AB50" i="1"/>
  <c r="AI50" i="1"/>
  <c r="AJ50" i="1"/>
  <c r="K50" i="1"/>
  <c r="L50" i="1"/>
  <c r="M50" i="1"/>
  <c r="U50" i="1"/>
  <c r="V50" i="1"/>
  <c r="Y50" i="1"/>
  <c r="Z50" i="1"/>
  <c r="AC50" i="1"/>
  <c r="AD50" i="1"/>
  <c r="H51" i="1"/>
  <c r="J51" i="1"/>
  <c r="AE51" i="1"/>
  <c r="AF51" i="1"/>
  <c r="AG51" i="1"/>
  <c r="AH51" i="1"/>
  <c r="AB51" i="1"/>
  <c r="AI51" i="1"/>
  <c r="AJ51" i="1"/>
  <c r="K51" i="1"/>
  <c r="L51" i="1"/>
  <c r="M51" i="1"/>
  <c r="U51" i="1"/>
  <c r="V51" i="1"/>
  <c r="Y51" i="1"/>
  <c r="Z51" i="1"/>
  <c r="AC51" i="1"/>
  <c r="AD51" i="1"/>
  <c r="H52" i="1"/>
  <c r="J52" i="1"/>
  <c r="AE52" i="1"/>
  <c r="AF52" i="1"/>
  <c r="AG52" i="1"/>
  <c r="AH52" i="1"/>
  <c r="AB52" i="1"/>
  <c r="AI52" i="1"/>
  <c r="AJ52" i="1"/>
  <c r="K52" i="1"/>
  <c r="L52" i="1"/>
  <c r="M52" i="1"/>
  <c r="U52" i="1"/>
  <c r="V52" i="1"/>
  <c r="Y52" i="1"/>
  <c r="Z52" i="1"/>
  <c r="AC52" i="1"/>
  <c r="AD52" i="1"/>
  <c r="A5" i="2"/>
  <c r="B5" i="2"/>
  <c r="B6" i="2"/>
  <c r="A7" i="2"/>
  <c r="A8" i="2"/>
  <c r="B8" i="2"/>
  <c r="C8" i="2"/>
  <c r="G8" i="2"/>
  <c r="H8" i="2"/>
  <c r="K8" i="2"/>
  <c r="L8" i="2"/>
  <c r="A9" i="2"/>
  <c r="B9" i="2"/>
  <c r="C9" i="2"/>
  <c r="G9" i="2"/>
  <c r="H9" i="2"/>
  <c r="K9" i="2"/>
  <c r="L9" i="2"/>
  <c r="A10" i="2"/>
  <c r="B10" i="2"/>
  <c r="C10" i="2"/>
  <c r="G10" i="2"/>
  <c r="H10" i="2"/>
  <c r="K10" i="2"/>
  <c r="L10" i="2"/>
  <c r="A11" i="2"/>
  <c r="B11" i="2"/>
  <c r="C11" i="2"/>
  <c r="G11" i="2"/>
  <c r="H11" i="2"/>
  <c r="K11" i="2"/>
  <c r="L11" i="2"/>
  <c r="A12" i="2"/>
  <c r="B12" i="2"/>
  <c r="C12" i="2"/>
  <c r="G12" i="2"/>
  <c r="H12" i="2"/>
  <c r="K12" i="2"/>
  <c r="L12" i="2"/>
  <c r="A13" i="2"/>
  <c r="B13" i="2"/>
  <c r="C13" i="2"/>
  <c r="G13" i="2"/>
  <c r="H13" i="2"/>
  <c r="K13" i="2"/>
  <c r="L13" i="2"/>
  <c r="A14" i="2"/>
  <c r="B14" i="2"/>
  <c r="C14" i="2"/>
  <c r="G14" i="2"/>
  <c r="H14" i="2"/>
  <c r="K14" i="2"/>
  <c r="L14" i="2"/>
  <c r="A15" i="2"/>
  <c r="B15" i="2"/>
  <c r="C15" i="2"/>
  <c r="G15" i="2"/>
  <c r="H15" i="2"/>
  <c r="K15" i="2"/>
  <c r="L15" i="2"/>
  <c r="A16" i="2"/>
  <c r="B16" i="2"/>
  <c r="C16" i="2"/>
  <c r="G16" i="2"/>
  <c r="H16" i="2"/>
  <c r="K16" i="2"/>
  <c r="L16" i="2"/>
  <c r="A17" i="2"/>
  <c r="B17" i="2"/>
  <c r="C17" i="2"/>
  <c r="G17" i="2"/>
  <c r="H17" i="2"/>
  <c r="K17" i="2"/>
  <c r="L17" i="2"/>
  <c r="A18" i="2"/>
  <c r="B18" i="2"/>
  <c r="C18" i="2"/>
  <c r="G18" i="2"/>
  <c r="H18" i="2"/>
  <c r="K18" i="2"/>
  <c r="L18" i="2"/>
  <c r="A19" i="2"/>
  <c r="B19" i="2"/>
  <c r="C19" i="2"/>
  <c r="G19" i="2"/>
  <c r="H19" i="2"/>
  <c r="K19" i="2"/>
  <c r="L19" i="2"/>
  <c r="A20" i="2"/>
  <c r="B20" i="2"/>
  <c r="C20" i="2"/>
  <c r="G20" i="2"/>
  <c r="H20" i="2"/>
  <c r="K20" i="2"/>
  <c r="L20" i="2"/>
  <c r="A21" i="2"/>
  <c r="B21" i="2"/>
  <c r="C21" i="2"/>
  <c r="G21" i="2"/>
  <c r="H21" i="2"/>
  <c r="K21" i="2"/>
  <c r="L21" i="2"/>
  <c r="A22" i="2"/>
  <c r="B22" i="2"/>
  <c r="C22" i="2"/>
  <c r="G22" i="2"/>
  <c r="H22" i="2"/>
  <c r="K22" i="2"/>
  <c r="L22" i="2"/>
  <c r="A23" i="2"/>
  <c r="B23" i="2"/>
  <c r="C23" i="2"/>
  <c r="G23" i="2"/>
  <c r="H23" i="2"/>
  <c r="K23" i="2"/>
  <c r="L23" i="2"/>
  <c r="A24" i="2"/>
  <c r="B24" i="2"/>
  <c r="C24" i="2"/>
  <c r="G24" i="2"/>
  <c r="H24" i="2"/>
  <c r="K24" i="2"/>
  <c r="L24" i="2"/>
  <c r="A25" i="2"/>
  <c r="B25" i="2"/>
  <c r="C25" i="2"/>
  <c r="G25" i="2"/>
  <c r="H25" i="2"/>
  <c r="K25" i="2"/>
  <c r="L25" i="2"/>
  <c r="A26" i="2"/>
  <c r="B26" i="2"/>
  <c r="C26" i="2"/>
  <c r="G26" i="2"/>
  <c r="H26" i="2"/>
  <c r="K26" i="2"/>
  <c r="L26" i="2"/>
  <c r="A27" i="2"/>
  <c r="B27" i="2"/>
  <c r="C27" i="2"/>
  <c r="G27" i="2"/>
  <c r="H27" i="2"/>
  <c r="K27" i="2"/>
  <c r="L27" i="2"/>
  <c r="A28" i="2"/>
  <c r="B28" i="2"/>
  <c r="C28" i="2"/>
  <c r="G28" i="2"/>
  <c r="H28" i="2"/>
  <c r="K28" i="2"/>
  <c r="L28" i="2"/>
  <c r="G29" i="2"/>
  <c r="H29" i="2"/>
  <c r="K29" i="2"/>
  <c r="L29" i="2"/>
  <c r="G30" i="2"/>
  <c r="H30" i="2"/>
  <c r="K30" i="2"/>
  <c r="L30" i="2"/>
  <c r="A31" i="2"/>
  <c r="A32" i="2"/>
  <c r="B32" i="2"/>
  <c r="C32" i="2"/>
  <c r="G32" i="2"/>
  <c r="K32" i="2"/>
  <c r="A33" i="2"/>
  <c r="B33" i="2"/>
  <c r="C33" i="2"/>
  <c r="G33" i="2"/>
  <c r="H33" i="2"/>
  <c r="K33" i="2"/>
  <c r="L33" i="2"/>
  <c r="A34" i="2"/>
  <c r="B34" i="2"/>
  <c r="C34" i="2"/>
  <c r="G34" i="2"/>
  <c r="H34" i="2"/>
  <c r="K34" i="2"/>
  <c r="L34" i="2"/>
  <c r="A35" i="2"/>
  <c r="B35" i="2"/>
  <c r="C35" i="2"/>
  <c r="G35" i="2"/>
  <c r="H35" i="2"/>
  <c r="K35" i="2"/>
  <c r="L35" i="2"/>
  <c r="A36" i="2"/>
  <c r="B36" i="2"/>
  <c r="C36" i="2"/>
  <c r="G36" i="2"/>
  <c r="K36" i="2"/>
  <c r="A37" i="2"/>
  <c r="B37" i="2"/>
  <c r="H37" i="2"/>
  <c r="L37" i="2"/>
  <c r="A38" i="2"/>
  <c r="B38" i="2"/>
  <c r="C38" i="2"/>
  <c r="G38" i="2"/>
  <c r="K38" i="2"/>
  <c r="A39" i="2"/>
  <c r="B39" i="2"/>
  <c r="C39" i="2"/>
  <c r="G39" i="2"/>
  <c r="H39" i="2"/>
  <c r="K39" i="2"/>
  <c r="L39" i="2"/>
  <c r="A40" i="2"/>
  <c r="B40" i="2"/>
  <c r="C40" i="2"/>
  <c r="G40" i="2"/>
  <c r="H40" i="2"/>
  <c r="K40" i="2"/>
  <c r="L40" i="2"/>
  <c r="A41" i="2"/>
  <c r="B41" i="2"/>
  <c r="C41" i="2"/>
  <c r="G41" i="2"/>
  <c r="H41" i="2"/>
  <c r="K41" i="2"/>
  <c r="L41" i="2"/>
  <c r="A42" i="2"/>
  <c r="B42" i="2"/>
  <c r="C42" i="2"/>
  <c r="G42" i="2"/>
  <c r="K42" i="2"/>
  <c r="A43" i="2"/>
  <c r="B43" i="2"/>
  <c r="H43" i="2"/>
  <c r="L43" i="2"/>
  <c r="G45" i="2"/>
  <c r="H45" i="2"/>
  <c r="K45" i="2"/>
  <c r="L45" i="2"/>
  <c r="G46" i="2"/>
  <c r="H46" i="2"/>
  <c r="K46" i="2"/>
  <c r="L46" i="2"/>
  <c r="G48" i="2"/>
  <c r="H48" i="2"/>
  <c r="K48" i="2"/>
  <c r="L48" i="2"/>
  <c r="H49" i="2"/>
  <c r="K49" i="2"/>
  <c r="L49" i="2"/>
  <c r="G50" i="2"/>
  <c r="G51" i="2"/>
  <c r="G52" i="2"/>
  <c r="F54" i="2"/>
  <c r="G54" i="2" a="1"/>
  <c r="G54" i="2"/>
  <c r="K54" i="2" a="1"/>
  <c r="K54" i="2"/>
</calcChain>
</file>

<file path=xl/sharedStrings.xml><?xml version="1.0" encoding="utf-8"?>
<sst xmlns="http://schemas.openxmlformats.org/spreadsheetml/2006/main" count="189" uniqueCount="109">
  <si>
    <t>Short Square and Rectangular Tube Columns with Moment</t>
  </si>
  <si>
    <t>Values</t>
  </si>
  <si>
    <t>without</t>
  </si>
  <si>
    <t>*  Ec =</t>
  </si>
  <si>
    <t>22*((fcyl+8)/10)^0.3</t>
  </si>
  <si>
    <t>Values from N-M interaction at same N/M ratio as test</t>
  </si>
  <si>
    <t>moment</t>
  </si>
  <si>
    <t>&lt;---</t>
  </si>
  <si>
    <t>subsidiary calculations</t>
  </si>
  <si>
    <t>---&gt;</t>
  </si>
  <si>
    <t>local</t>
  </si>
  <si>
    <t>Test</t>
  </si>
  <si>
    <t>EC4</t>
  </si>
  <si>
    <t>CDG</t>
  </si>
  <si>
    <r>
      <t>N</t>
    </r>
    <r>
      <rPr>
        <sz val="10"/>
        <rFont val="Arial"/>
      </rPr>
      <t>plRd</t>
    </r>
  </si>
  <si>
    <t>Test N</t>
  </si>
  <si>
    <t>d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</si>
  <si>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</si>
  <si>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</si>
  <si>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</si>
  <si>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</si>
  <si>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</si>
  <si>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</si>
  <si>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</si>
  <si>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</si>
  <si>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</si>
  <si>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</si>
  <si>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</si>
  <si>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</si>
  <si>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</si>
  <si>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et</t>
  </si>
  <si>
    <t>eb</t>
  </si>
  <si>
    <t>Nmax</t>
  </si>
  <si>
    <t>Mmax</t>
  </si>
  <si>
    <t>N</t>
  </si>
  <si>
    <t>M</t>
  </si>
  <si>
    <t>Test M</t>
  </si>
  <si>
    <t>Asfy</t>
  </si>
  <si>
    <t>Bc</t>
  </si>
  <si>
    <t>Hc</t>
  </si>
  <si>
    <t>Ac</t>
  </si>
  <si>
    <t>As</t>
  </si>
  <si>
    <t>(EI)e</t>
  </si>
  <si>
    <t>Ncr</t>
  </si>
  <si>
    <t>mm</t>
  </si>
  <si>
    <t>MPa</t>
  </si>
  <si>
    <t>GPa</t>
  </si>
  <si>
    <t>ness</t>
  </si>
  <si>
    <t>if &gt; 1</t>
  </si>
  <si>
    <t>kN</t>
  </si>
  <si>
    <t>kNm</t>
  </si>
  <si>
    <t>Npl,Rd</t>
  </si>
  <si>
    <t>mm2</t>
  </si>
  <si>
    <t>kNmm^2</t>
  </si>
  <si>
    <t>Nakahara</t>
  </si>
  <si>
    <t>&amp; Sakino</t>
  </si>
  <si>
    <t>ASCCS-6</t>
  </si>
  <si>
    <t>p441</t>
  </si>
  <si>
    <t>(Ref 59)</t>
  </si>
  <si>
    <t>*</t>
  </si>
  <si>
    <t>Uy</t>
  </si>
  <si>
    <t>ASCCS5</t>
  </si>
  <si>
    <t>p.801</t>
  </si>
  <si>
    <t>Ref. 49</t>
  </si>
  <si>
    <t>estimate</t>
  </si>
  <si>
    <t>NS1 [C]</t>
  </si>
  <si>
    <t>NS2 [C]</t>
  </si>
  <si>
    <t>NS3 [C]</t>
  </si>
  <si>
    <t>NS4 [C]</t>
  </si>
  <si>
    <t>NS5 [LB]</t>
  </si>
  <si>
    <t>NS6 [B]</t>
  </si>
  <si>
    <t>**</t>
  </si>
  <si>
    <t>HS1 [C]</t>
  </si>
  <si>
    <t>HS2 [C]</t>
  </si>
  <si>
    <t>HS3 [C]</t>
  </si>
  <si>
    <t>HS4 [C]</t>
  </si>
  <si>
    <t>HS5 [LB]</t>
  </si>
  <si>
    <t>HS6 [B]</t>
  </si>
  <si>
    <t>Test/EC4</t>
  </si>
  <si>
    <t>* = empty tube squash load   ** = filled tube in bending</t>
  </si>
  <si>
    <t>No with</t>
  </si>
  <si>
    <t>fcyl &gt;60</t>
  </si>
  <si>
    <t>locB &gt;1</t>
  </si>
  <si>
    <t>No &lt;0.2</t>
  </si>
  <si>
    <t xml:space="preserve">Av = </t>
  </si>
  <si>
    <t>loc B &lt;1</t>
  </si>
  <si>
    <t>No &gt;0.9</t>
  </si>
  <si>
    <t>fcyl&lt;=60</t>
  </si>
  <si>
    <t>fcyl &gt; 60</t>
  </si>
  <si>
    <t>using</t>
  </si>
  <si>
    <t>.85fcyl</t>
  </si>
  <si>
    <t>Summary and comparison with EC4 &amp; CDG</t>
  </si>
  <si>
    <t>Theory values at same N/M ratio as test.</t>
  </si>
  <si>
    <t>Values obtained from N-M interaction Graphs</t>
  </si>
  <si>
    <t>TEST</t>
  </si>
  <si>
    <t>M (N*e)</t>
  </si>
  <si>
    <t>ASCCS6</t>
  </si>
  <si>
    <t>Ref.59</t>
  </si>
  <si>
    <t>Av (21) =</t>
  </si>
  <si>
    <t>St Dev =</t>
  </si>
  <si>
    <t>Av (8) =</t>
  </si>
  <si>
    <t>St Dev</t>
  </si>
  <si>
    <t xml:space="preserve">OA Av </t>
  </si>
  <si>
    <t>(29) =</t>
  </si>
  <si>
    <t>Tot No.</t>
  </si>
  <si>
    <t>No. &lt; 1</t>
  </si>
  <si>
    <t>% &lt; 1</t>
  </si>
  <si>
    <t>Concrete</t>
  </si>
  <si>
    <t>&gt;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</si>
</sst>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E+00"/>
    <numFmt numFmtId="167" formatCode="0.0E+00"/>
  </numFmts>
  <fonts count="5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quotePrefix="1" applyAlignment="1">
      <alignment horizontal="righ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0" fillId="0" borderId="0" xfId="0" applyAlignment="1">
      <alignment horizontal="right"/>
    </xf>
    <xf numFmtId="9" fontId="0" fillId="0" borderId="0" xfId="0" applyNumberForma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 Rectangular  CFST  with  Moment.    Tests  compared  with  EC4.</a:t>
            </a:r>
          </a:p>
        </c:rich>
      </c:tx>
      <c:layout>
        <c:manualLayout>
          <c:xMode val="edge"/>
          <c:yMode val="edge"/>
          <c:x val="0.22086570477247502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21087680355167E-2"/>
          <c:y val="0.12071778140293637"/>
          <c:w val="0.80688124306326303"/>
          <c:h val="0.77650897226753668"/>
        </c:manualLayout>
      </c:layout>
      <c:scatterChart>
        <c:scatterStyle val="lineMarker"/>
        <c:varyColors val="0"/>
        <c:ser>
          <c:idx val="0"/>
          <c:order val="0"/>
          <c:tx>
            <c:v>Nakahara (21)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Summary!$E$8:$E$28</c:f>
              <c:numCache>
                <c:formatCode>General</c:formatCode>
                <c:ptCount val="21"/>
                <c:pt idx="0">
                  <c:v>803</c:v>
                </c:pt>
                <c:pt idx="1">
                  <c:v>215</c:v>
                </c:pt>
                <c:pt idx="2">
                  <c:v>1220</c:v>
                </c:pt>
                <c:pt idx="3">
                  <c:v>480</c:v>
                </c:pt>
                <c:pt idx="4">
                  <c:v>1560</c:v>
                </c:pt>
                <c:pt idx="5">
                  <c:v>1090</c:v>
                </c:pt>
                <c:pt idx="6">
                  <c:v>530</c:v>
                </c:pt>
                <c:pt idx="7">
                  <c:v>2440</c:v>
                </c:pt>
                <c:pt idx="8">
                  <c:v>1480</c:v>
                </c:pt>
                <c:pt idx="9">
                  <c:v>3740</c:v>
                </c:pt>
                <c:pt idx="10">
                  <c:v>1440</c:v>
                </c:pt>
                <c:pt idx="11">
                  <c:v>1472</c:v>
                </c:pt>
                <c:pt idx="12">
                  <c:v>483</c:v>
                </c:pt>
                <c:pt idx="13">
                  <c:v>2408</c:v>
                </c:pt>
                <c:pt idx="14">
                  <c:v>2729</c:v>
                </c:pt>
                <c:pt idx="15">
                  <c:v>1994</c:v>
                </c:pt>
                <c:pt idx="16">
                  <c:v>770</c:v>
                </c:pt>
                <c:pt idx="17">
                  <c:v>3507</c:v>
                </c:pt>
                <c:pt idx="18">
                  <c:v>1285</c:v>
                </c:pt>
                <c:pt idx="19">
                  <c:v>4685</c:v>
                </c:pt>
                <c:pt idx="20">
                  <c:v>1917</c:v>
                </c:pt>
              </c:numCache>
            </c:numRef>
          </c:xVal>
          <c:yVal>
            <c:numRef>
              <c:f>Summary!$B$8:$B$28</c:f>
              <c:numCache>
                <c:formatCode>General</c:formatCode>
                <c:ptCount val="21"/>
                <c:pt idx="0">
                  <c:v>755</c:v>
                </c:pt>
                <c:pt idx="1">
                  <c:v>259</c:v>
                </c:pt>
                <c:pt idx="2">
                  <c:v>1141</c:v>
                </c:pt>
                <c:pt idx="3">
                  <c:v>503</c:v>
                </c:pt>
                <c:pt idx="4">
                  <c:v>1369</c:v>
                </c:pt>
                <c:pt idx="5">
                  <c:v>1028</c:v>
                </c:pt>
                <c:pt idx="6">
                  <c:v>580</c:v>
                </c:pt>
                <c:pt idx="7">
                  <c:v>2013</c:v>
                </c:pt>
                <c:pt idx="8">
                  <c:v>1447</c:v>
                </c:pt>
                <c:pt idx="9">
                  <c:v>3306</c:v>
                </c:pt>
                <c:pt idx="10">
                  <c:v>1479</c:v>
                </c:pt>
                <c:pt idx="11">
                  <c:v>1636</c:v>
                </c:pt>
                <c:pt idx="12">
                  <c:v>611</c:v>
                </c:pt>
                <c:pt idx="13">
                  <c:v>2393</c:v>
                </c:pt>
                <c:pt idx="14">
                  <c:v>2685</c:v>
                </c:pt>
                <c:pt idx="15">
                  <c:v>2090</c:v>
                </c:pt>
                <c:pt idx="16">
                  <c:v>858</c:v>
                </c:pt>
                <c:pt idx="17">
                  <c:v>3396</c:v>
                </c:pt>
                <c:pt idx="18">
                  <c:v>1484</c:v>
                </c:pt>
                <c:pt idx="19">
                  <c:v>4100</c:v>
                </c:pt>
                <c:pt idx="20">
                  <c:v>1967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DC-4147-9507-EFA1C3108853}"/>
            </c:ext>
          </c:extLst>
        </c:ser>
        <c:ser>
          <c:idx val="1"/>
          <c:order val="1"/>
          <c:tx>
            <c:v>Uy Normal Strength (4)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Summary!$E$32:$E$35</c:f>
              <c:numCache>
                <c:formatCode>General</c:formatCode>
                <c:ptCount val="4"/>
                <c:pt idx="0">
                  <c:v>1696</c:v>
                </c:pt>
                <c:pt idx="1">
                  <c:v>1147</c:v>
                </c:pt>
                <c:pt idx="2">
                  <c:v>941</c:v>
                </c:pt>
                <c:pt idx="3">
                  <c:v>711</c:v>
                </c:pt>
              </c:numCache>
            </c:numRef>
          </c:xVal>
          <c:yVal>
            <c:numRef>
              <c:f>Summary!$B$32:$B$35</c:f>
              <c:numCache>
                <c:formatCode>General</c:formatCode>
                <c:ptCount val="4"/>
                <c:pt idx="0">
                  <c:v>1555</c:v>
                </c:pt>
                <c:pt idx="1">
                  <c:v>1069</c:v>
                </c:pt>
                <c:pt idx="2">
                  <c:v>1133</c:v>
                </c:pt>
                <c:pt idx="3">
                  <c:v>895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DC-4147-9507-EFA1C3108853}"/>
            </c:ext>
          </c:extLst>
        </c:ser>
        <c:ser>
          <c:idx val="2"/>
          <c:order val="2"/>
          <c:tx>
            <c:v>Uy High Strength (4)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Summary!$E$38:$E$41</c:f>
              <c:numCache>
                <c:formatCode>General</c:formatCode>
                <c:ptCount val="4"/>
                <c:pt idx="0">
                  <c:v>1163</c:v>
                </c:pt>
                <c:pt idx="1">
                  <c:v>847</c:v>
                </c:pt>
                <c:pt idx="2">
                  <c:v>620</c:v>
                </c:pt>
                <c:pt idx="3">
                  <c:v>533</c:v>
                </c:pt>
              </c:numCache>
            </c:numRef>
          </c:xVal>
          <c:yVal>
            <c:numRef>
              <c:f>Summary!$B$38:$B$41</c:f>
              <c:numCache>
                <c:formatCode>General</c:formatCode>
                <c:ptCount val="4"/>
                <c:pt idx="0">
                  <c:v>1114</c:v>
                </c:pt>
                <c:pt idx="1">
                  <c:v>996</c:v>
                </c:pt>
                <c:pt idx="2">
                  <c:v>739</c:v>
                </c:pt>
                <c:pt idx="3">
                  <c:v>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8DC-4147-9507-EFA1C3108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2183520"/>
        <c:axId val="1"/>
      </c:scatterChart>
      <c:valAx>
        <c:axId val="1752183520"/>
        <c:scaling>
          <c:orientation val="minMax"/>
          <c:max val="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3507214206437295"/>
              <c:y val="0.94616639477977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500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37194127243066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2183520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259711431742507"/>
          <c:y val="0.73898858075040785"/>
          <c:w val="0.20310765815760268"/>
          <c:h val="0.12724306688417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 Square  Columns  with  Moment.        Tests  compared  with  C. D. Goode.</a:t>
            </a:r>
          </a:p>
        </c:rich>
      </c:tx>
      <c:layout>
        <c:manualLayout>
          <c:xMode val="edge"/>
          <c:yMode val="edge"/>
          <c:x val="0.18756936736958935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21087680355167E-2"/>
          <c:y val="0.10114192495921696"/>
          <c:w val="0.876803551609323"/>
          <c:h val="0.79445350734094622"/>
        </c:manualLayout>
      </c:layout>
      <c:scatterChart>
        <c:scatterStyle val="lineMarker"/>
        <c:varyColors val="0"/>
        <c:ser>
          <c:idx val="0"/>
          <c:order val="0"/>
          <c:tx>
            <c:v>Nakahara (21)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Summary!$I$8:$I$28</c:f>
              <c:numCache>
                <c:formatCode>General</c:formatCode>
                <c:ptCount val="21"/>
                <c:pt idx="0">
                  <c:v>810</c:v>
                </c:pt>
                <c:pt idx="1">
                  <c:v>235</c:v>
                </c:pt>
                <c:pt idx="2">
                  <c:v>1185</c:v>
                </c:pt>
                <c:pt idx="3">
                  <c:v>508</c:v>
                </c:pt>
                <c:pt idx="4">
                  <c:v>1500</c:v>
                </c:pt>
                <c:pt idx="5">
                  <c:v>1100</c:v>
                </c:pt>
                <c:pt idx="6">
                  <c:v>560</c:v>
                </c:pt>
                <c:pt idx="7">
                  <c:v>2340</c:v>
                </c:pt>
                <c:pt idx="8">
                  <c:v>1520</c:v>
                </c:pt>
                <c:pt idx="9">
                  <c:v>3520</c:v>
                </c:pt>
                <c:pt idx="10">
                  <c:v>1550</c:v>
                </c:pt>
                <c:pt idx="11">
                  <c:v>1565</c:v>
                </c:pt>
                <c:pt idx="12">
                  <c:v>580</c:v>
                </c:pt>
                <c:pt idx="13">
                  <c:v>2540</c:v>
                </c:pt>
                <c:pt idx="14">
                  <c:v>2880</c:v>
                </c:pt>
                <c:pt idx="15">
                  <c:v>2270</c:v>
                </c:pt>
                <c:pt idx="16">
                  <c:v>980</c:v>
                </c:pt>
                <c:pt idx="17">
                  <c:v>3650</c:v>
                </c:pt>
                <c:pt idx="18">
                  <c:v>1520</c:v>
                </c:pt>
                <c:pt idx="19">
                  <c:v>4900</c:v>
                </c:pt>
                <c:pt idx="20">
                  <c:v>2280</c:v>
                </c:pt>
              </c:numCache>
            </c:numRef>
          </c:xVal>
          <c:yVal>
            <c:numRef>
              <c:f>Summary!$B$8:$B$28</c:f>
              <c:numCache>
                <c:formatCode>General</c:formatCode>
                <c:ptCount val="21"/>
                <c:pt idx="0">
                  <c:v>755</c:v>
                </c:pt>
                <c:pt idx="1">
                  <c:v>259</c:v>
                </c:pt>
                <c:pt idx="2">
                  <c:v>1141</c:v>
                </c:pt>
                <c:pt idx="3">
                  <c:v>503</c:v>
                </c:pt>
                <c:pt idx="4">
                  <c:v>1369</c:v>
                </c:pt>
                <c:pt idx="5">
                  <c:v>1028</c:v>
                </c:pt>
                <c:pt idx="6">
                  <c:v>580</c:v>
                </c:pt>
                <c:pt idx="7">
                  <c:v>2013</c:v>
                </c:pt>
                <c:pt idx="8">
                  <c:v>1447</c:v>
                </c:pt>
                <c:pt idx="9">
                  <c:v>3306</c:v>
                </c:pt>
                <c:pt idx="10">
                  <c:v>1479</c:v>
                </c:pt>
                <c:pt idx="11">
                  <c:v>1636</c:v>
                </c:pt>
                <c:pt idx="12">
                  <c:v>611</c:v>
                </c:pt>
                <c:pt idx="13">
                  <c:v>2393</c:v>
                </c:pt>
                <c:pt idx="14">
                  <c:v>2685</c:v>
                </c:pt>
                <c:pt idx="15">
                  <c:v>2090</c:v>
                </c:pt>
                <c:pt idx="16">
                  <c:v>858</c:v>
                </c:pt>
                <c:pt idx="17">
                  <c:v>3396</c:v>
                </c:pt>
                <c:pt idx="18">
                  <c:v>1484</c:v>
                </c:pt>
                <c:pt idx="19">
                  <c:v>4100</c:v>
                </c:pt>
                <c:pt idx="20">
                  <c:v>1967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F3-4CD8-BE43-D0545B905FB1}"/>
            </c:ext>
          </c:extLst>
        </c:ser>
        <c:ser>
          <c:idx val="1"/>
          <c:order val="1"/>
          <c:tx>
            <c:v>Uy Normal Strength (4)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Summary!$I$32:$I$35</c:f>
              <c:numCache>
                <c:formatCode>General</c:formatCode>
                <c:ptCount val="4"/>
                <c:pt idx="0">
                  <c:v>1540</c:v>
                </c:pt>
                <c:pt idx="1">
                  <c:v>1066</c:v>
                </c:pt>
                <c:pt idx="2">
                  <c:v>915</c:v>
                </c:pt>
                <c:pt idx="3">
                  <c:v>715</c:v>
                </c:pt>
              </c:numCache>
            </c:numRef>
          </c:xVal>
          <c:yVal>
            <c:numRef>
              <c:f>Summary!$B$32:$B$35</c:f>
              <c:numCache>
                <c:formatCode>General</c:formatCode>
                <c:ptCount val="4"/>
                <c:pt idx="0">
                  <c:v>1555</c:v>
                </c:pt>
                <c:pt idx="1">
                  <c:v>1069</c:v>
                </c:pt>
                <c:pt idx="2">
                  <c:v>1133</c:v>
                </c:pt>
                <c:pt idx="3">
                  <c:v>895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F3-4CD8-BE43-D0545B905FB1}"/>
            </c:ext>
          </c:extLst>
        </c:ser>
        <c:ser>
          <c:idx val="2"/>
          <c:order val="2"/>
          <c:tx>
            <c:v>Uy High Strength (4)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Summary!$I$38:$I$41</c:f>
              <c:numCache>
                <c:formatCode>General</c:formatCode>
                <c:ptCount val="4"/>
                <c:pt idx="0">
                  <c:v>1054</c:v>
                </c:pt>
                <c:pt idx="1">
                  <c:v>772</c:v>
                </c:pt>
                <c:pt idx="2">
                  <c:v>600</c:v>
                </c:pt>
                <c:pt idx="3">
                  <c:v>528</c:v>
                </c:pt>
              </c:numCache>
            </c:numRef>
          </c:xVal>
          <c:yVal>
            <c:numRef>
              <c:f>Summary!$B$38:$B$41</c:f>
              <c:numCache>
                <c:formatCode>General</c:formatCode>
                <c:ptCount val="4"/>
                <c:pt idx="0">
                  <c:v>1114</c:v>
                </c:pt>
                <c:pt idx="1">
                  <c:v>996</c:v>
                </c:pt>
                <c:pt idx="2">
                  <c:v>739</c:v>
                </c:pt>
                <c:pt idx="3">
                  <c:v>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F3-4CD8-BE43-D0545B905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2186016"/>
        <c:axId val="1"/>
      </c:scatterChart>
      <c:valAx>
        <c:axId val="1752186016"/>
        <c:scaling>
          <c:orientation val="minMax"/>
          <c:max val="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C. D. Goode Theory  Axial Load kN</a:t>
                </a:r>
              </a:p>
            </c:rich>
          </c:tx>
          <c:layout>
            <c:manualLayout>
              <c:xMode val="edge"/>
              <c:yMode val="edge"/>
              <c:x val="0.39511653718091011"/>
              <c:y val="0.94616639477977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500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Axial Load  kN</a:t>
                </a:r>
              </a:p>
            </c:rich>
          </c:tx>
          <c:layout>
            <c:manualLayout>
              <c:xMode val="edge"/>
              <c:yMode val="edge"/>
              <c:x val="1.1098779134295227E-2"/>
              <c:y val="0.394779771615008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2186016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476137624861269"/>
          <c:y val="0.73083197389885812"/>
          <c:w val="0.21864594894561598"/>
          <c:h val="0.133768352365415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Rectangular CFST Columns with Moment.   Ratio Test/EC4 v Concrete Strength</a:t>
            </a:r>
          </a:p>
        </c:rich>
      </c:tx>
      <c:layout>
        <c:manualLayout>
          <c:xMode val="edge"/>
          <c:yMode val="edge"/>
          <c:x val="0.16204217536071033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81576026637066E-2"/>
          <c:y val="0.11908646003262642"/>
          <c:w val="0.78801331853496115"/>
          <c:h val="0.77814029363784665"/>
        </c:manualLayout>
      </c:layout>
      <c:scatterChart>
        <c:scatterStyle val="lineMarker"/>
        <c:varyColors val="0"/>
        <c:ser>
          <c:idx val="0"/>
          <c:order val="0"/>
          <c:tx>
            <c:v> Nakahara (21)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Data!$G$8:$G$28</c:f>
              <c:numCache>
                <c:formatCode>General</c:formatCode>
                <c:ptCount val="21"/>
                <c:pt idx="0">
                  <c:v>41.1</c:v>
                </c:pt>
                <c:pt idx="1">
                  <c:v>41.1</c:v>
                </c:pt>
                <c:pt idx="2">
                  <c:v>25.4</c:v>
                </c:pt>
                <c:pt idx="3">
                  <c:v>25.4</c:v>
                </c:pt>
                <c:pt idx="4">
                  <c:v>41.1</c:v>
                </c:pt>
                <c:pt idx="5">
                  <c:v>41.1</c:v>
                </c:pt>
                <c:pt idx="6">
                  <c:v>41.1</c:v>
                </c:pt>
                <c:pt idx="7">
                  <c:v>80.3</c:v>
                </c:pt>
                <c:pt idx="8">
                  <c:v>80.3</c:v>
                </c:pt>
                <c:pt idx="9">
                  <c:v>41.1</c:v>
                </c:pt>
                <c:pt idx="10">
                  <c:v>41.1</c:v>
                </c:pt>
                <c:pt idx="11">
                  <c:v>41.1</c:v>
                </c:pt>
                <c:pt idx="12">
                  <c:v>41.1</c:v>
                </c:pt>
                <c:pt idx="13">
                  <c:v>25.4</c:v>
                </c:pt>
                <c:pt idx="14">
                  <c:v>41.1</c:v>
                </c:pt>
                <c:pt idx="15">
                  <c:v>41.1</c:v>
                </c:pt>
                <c:pt idx="16">
                  <c:v>41.1</c:v>
                </c:pt>
                <c:pt idx="17">
                  <c:v>80.3</c:v>
                </c:pt>
                <c:pt idx="18">
                  <c:v>80.3</c:v>
                </c:pt>
                <c:pt idx="19">
                  <c:v>41.1</c:v>
                </c:pt>
                <c:pt idx="20">
                  <c:v>41.1</c:v>
                </c:pt>
              </c:numCache>
            </c:numRef>
          </c:xVal>
          <c:yVal>
            <c:numRef>
              <c:f>Data!$U$8:$U$28</c:f>
              <c:numCache>
                <c:formatCode>0.00</c:formatCode>
                <c:ptCount val="21"/>
                <c:pt idx="0">
                  <c:v>0.94022415940224158</c:v>
                </c:pt>
                <c:pt idx="1">
                  <c:v>1.2046511627906977</c:v>
                </c:pt>
                <c:pt idx="2">
                  <c:v>0.93524590163934429</c:v>
                </c:pt>
                <c:pt idx="3">
                  <c:v>1.0479166666666666</c:v>
                </c:pt>
                <c:pt idx="4">
                  <c:v>0.87756410256410255</c:v>
                </c:pt>
                <c:pt idx="5">
                  <c:v>0.94311926605504592</c:v>
                </c:pt>
                <c:pt idx="6">
                  <c:v>1.0943396226415094</c:v>
                </c:pt>
                <c:pt idx="7">
                  <c:v>0.82499999999999996</c:v>
                </c:pt>
                <c:pt idx="8">
                  <c:v>0.97770270270270265</c:v>
                </c:pt>
                <c:pt idx="9">
                  <c:v>0.88395721925133686</c:v>
                </c:pt>
                <c:pt idx="10">
                  <c:v>1.0270833333333333</c:v>
                </c:pt>
                <c:pt idx="11">
                  <c:v>1.111413043478261</c:v>
                </c:pt>
                <c:pt idx="12">
                  <c:v>1.2650103519668736</c:v>
                </c:pt>
                <c:pt idx="13">
                  <c:v>0.9937707641196013</c:v>
                </c:pt>
                <c:pt idx="14">
                  <c:v>0.98387687797728107</c:v>
                </c:pt>
                <c:pt idx="15">
                  <c:v>1.0481444332998997</c:v>
                </c:pt>
                <c:pt idx="16">
                  <c:v>1.1142857142857143</c:v>
                </c:pt>
                <c:pt idx="17">
                  <c:v>0.96834901625320791</c:v>
                </c:pt>
                <c:pt idx="18">
                  <c:v>1.1548638132295719</c:v>
                </c:pt>
                <c:pt idx="19">
                  <c:v>0.87513340448239063</c:v>
                </c:pt>
                <c:pt idx="20">
                  <c:v>1.0260824204486176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E9-4CB8-A76E-038A7EEC27FA}"/>
            </c:ext>
          </c:extLst>
        </c:ser>
        <c:ser>
          <c:idx val="1"/>
          <c:order val="1"/>
          <c:tx>
            <c:v> Uy NS (4)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Data!$G$31:$G$34</c:f>
              <c:numCache>
                <c:formatCode>General</c:formatCode>
                <c:ptCount val="4"/>
                <c:pt idx="0">
                  <c:v>32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</c:numCache>
            </c:numRef>
          </c:xVal>
          <c:yVal>
            <c:numRef>
              <c:f>Data!$U$31:$U$34</c:f>
              <c:numCache>
                <c:formatCode>0.00</c:formatCode>
                <c:ptCount val="4"/>
                <c:pt idx="0">
                  <c:v>0.91686320754716977</c:v>
                </c:pt>
                <c:pt idx="1">
                  <c:v>0.93199651264167394</c:v>
                </c:pt>
                <c:pt idx="2">
                  <c:v>1.20403825717322</c:v>
                </c:pt>
                <c:pt idx="3">
                  <c:v>1.2587904360056259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E9-4CB8-A76E-038A7EEC27FA}"/>
            </c:ext>
          </c:extLst>
        </c:ser>
        <c:ser>
          <c:idx val="2"/>
          <c:order val="2"/>
          <c:tx>
            <c:v> Uy HS (4)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Data!$G$37:$G$40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xVal>
          <c:yVal>
            <c:numRef>
              <c:f>Data!$U$37:$U$40</c:f>
              <c:numCache>
                <c:formatCode>0.00</c:formatCode>
                <c:ptCount val="4"/>
                <c:pt idx="0">
                  <c:v>0.95786758383490966</c:v>
                </c:pt>
                <c:pt idx="1">
                  <c:v>1.1759149940968123</c:v>
                </c:pt>
                <c:pt idx="2">
                  <c:v>1.1919354838709677</c:v>
                </c:pt>
                <c:pt idx="3">
                  <c:v>1.1613508442776737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5E9-4CB8-A76E-038A7EEC2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2186848"/>
        <c:axId val="1"/>
      </c:scatterChart>
      <c:valAx>
        <c:axId val="17521868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MPa</a:t>
                </a:r>
              </a:p>
            </c:rich>
          </c:tx>
          <c:layout>
            <c:manualLayout>
              <c:xMode val="edge"/>
              <c:yMode val="edge"/>
              <c:x val="0.36625971143174252"/>
              <c:y val="0.94616639477977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.3"/>
          <c:min val="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355628058727569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2186848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207547169811321"/>
          <c:y val="0.80750407830342574"/>
          <c:w val="0.39511653718091011"/>
          <c:h val="5.22022838499184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9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9" workbookViewId="0" xr3:uid="{51F8DEE0-4D01-5F28-A812-FC0BD7CAC4A5}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69" workbookViewId="0" xr3:uid="{F9CF3CF3-643B-5BE6-8B46-32C596A47465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5B48D338-69AC-4CE0-8066-6102E08312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0.0795</cdr:x>
      <cdr:y>0.123</cdr:y>
    </cdr:from>
    <cdr:to>
      <cdr:x>0.809</cdr:x>
      <cdr:y>0.89725</cdr:y>
    </cdr:to>
    <cdr:sp macro="" textlink="">
      <cdr:nvSpPr>
        <cdr:cNvPr id="1027" name="Line 3">
          <a:extLst xmlns:a="http://schemas.openxmlformats.org/drawingml/2006/main">
            <a:ext uri="{FF2B5EF4-FFF2-40B4-BE49-F238E27FC236}">
              <a16:creationId xmlns:a16="http://schemas.microsoft.com/office/drawing/2014/main" id="{600F5BC6-914C-4B51-9E6D-A04A87798AA5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2271" y="718175"/>
          <a:ext cx="6260587" cy="452071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0.38925</cdr:x>
      <cdr:y>0.589</cdr:y>
    </cdr:from>
    <cdr:to>
      <cdr:x>0.56575</cdr:x>
      <cdr:y>0.61175</cdr:y>
    </cdr:to>
    <cdr:sp macro="" textlink="">
      <cdr:nvSpPr>
        <cdr:cNvPr id="1028" name="Text Box 4">
          <a:extLst xmlns:a="http://schemas.openxmlformats.org/drawingml/2006/main">
            <a:ext uri="{FF2B5EF4-FFF2-40B4-BE49-F238E27FC236}">
              <a16:creationId xmlns:a16="http://schemas.microsoft.com/office/drawing/2014/main" id="{0A352B1C-1A31-4BE3-AEBA-328ECED66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0553" y="3439068"/>
          <a:ext cx="1514728" cy="132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BELOW the line are</a:t>
          </a:r>
          <a:r>
            <a:rPr lang="en-US" sz="925" b="1" i="0" u="none" strike="noStrike" baseline="0">
              <a:solidFill>
                <a:srgbClr val="000000"/>
              </a:solidFill>
              <a:latin typeface="Arial"/>
              <a:cs typeface="Arial"/>
            </a:rPr>
            <a:t> 'Unsafe'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4A43905F-56FD-4B7C-A51B-CBE9E05363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0.08275</cdr:x>
      <cdr:y>0.101</cdr:y>
    </cdr:from>
    <cdr:to>
      <cdr:x>0.871</cdr:x>
      <cdr:y>0.8955</cdr:y>
    </cdr:to>
    <cdr:sp macro="" textlink="">
      <cdr:nvSpPr>
        <cdr:cNvPr id="14337" name="Line 1">
          <a:extLst xmlns:a="http://schemas.openxmlformats.org/drawingml/2006/main">
            <a:ext uri="{FF2B5EF4-FFF2-40B4-BE49-F238E27FC236}">
              <a16:creationId xmlns:a16="http://schemas.microsoft.com/office/drawing/2014/main" id="{F776AD59-AB85-456C-A0D3-AB68114F2C72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10163" y="589721"/>
          <a:ext cx="6764781" cy="463894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0.40025</cdr:x>
      <cdr:y>0.58875</cdr:y>
    </cdr:from>
    <cdr:to>
      <cdr:x>0.6645</cdr:x>
      <cdr:y>0.62625</cdr:y>
    </cdr:to>
    <cdr:sp macro="" textlink="">
      <cdr:nvSpPr>
        <cdr:cNvPr id="14338" name="Text Box 2">
          <a:extLst xmlns:a="http://schemas.openxmlformats.org/drawingml/2006/main">
            <a:ext uri="{FF2B5EF4-FFF2-40B4-BE49-F238E27FC236}">
              <a16:creationId xmlns:a16="http://schemas.microsoft.com/office/drawing/2014/main" id="{AFEFC106-8CCD-4AA1-BC17-EA7E168083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34956" y="3437608"/>
          <a:ext cx="2267800" cy="2189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BELOW the line are </a:t>
          </a:r>
          <a:r>
            <a:rPr lang="en-US" sz="925" b="1" i="0" u="none" strike="noStrike" baseline="0">
              <a:solidFill>
                <a:srgbClr val="000000"/>
              </a:solidFill>
              <a:latin typeface="Arial"/>
              <a:cs typeface="Arial"/>
            </a:rPr>
            <a:t>UNSAFE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83C16D1B-7A69-453E-95BE-9F737EE406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0.0765</cdr:x>
      <cdr:y>0.50725</cdr:y>
    </cdr:from>
    <cdr:to>
      <cdr:x>0.8675</cdr:x>
      <cdr:y>0.50725</cdr:y>
    </cdr:to>
    <cdr:sp macro="" textlink="">
      <cdr:nvSpPr>
        <cdr:cNvPr id="19457" name="Line 1">
          <a:extLst xmlns:a="http://schemas.openxmlformats.org/drawingml/2006/main">
            <a:ext uri="{FF2B5EF4-FFF2-40B4-BE49-F238E27FC236}">
              <a16:creationId xmlns:a16="http://schemas.microsoft.com/office/drawing/2014/main" id="{29BDBEBD-93B2-4400-8BD3-29896F0AEA1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6525" y="2961744"/>
          <a:ext cx="678838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2"/>
  <sheetViews>
    <sheetView zoomScaleNormal="100" workbookViewId="0" xr3:uid="{AEA406A1-0E4B-5B11-9CD5-51D6E497D94C}">
      <pane xSplit="1" ySplit="6" topLeftCell="M7" activePane="bottomRight" state="frozen"/>
      <selection pane="bottomRight" activeCell="X21" sqref="X21"/>
      <selection pane="bottomLeft" activeCell="A7" sqref="A7"/>
      <selection pane="topRight" activeCell="B1" sqref="B1"/>
    </sheetView>
  </sheetViews>
  <sheetFormatPr defaultRowHeight="12.75"/>
  <cols>
    <col min="2" max="36" width="7.7109375" customWidth="1"/>
  </cols>
  <sheetData>
    <row r="1" spans="1:38">
      <c r="A1" s="23" t="s">
        <v>0</v>
      </c>
      <c r="B1" s="23"/>
      <c r="C1" s="23"/>
      <c r="D1" s="23"/>
      <c r="E1" s="23"/>
      <c r="F1" s="23"/>
      <c r="G1" s="23"/>
      <c r="H1" s="23"/>
    </row>
    <row r="2" spans="1:38">
      <c r="AB2" t="s">
        <v>1</v>
      </c>
      <c r="AC2" t="s">
        <v>2</v>
      </c>
    </row>
    <row r="3" spans="1:38">
      <c r="H3" s="17" t="s">
        <v>3</v>
      </c>
      <c r="I3" s="25" t="s">
        <v>4</v>
      </c>
      <c r="J3" s="25"/>
      <c r="K3" s="25"/>
      <c r="L3" s="22"/>
      <c r="M3" s="22"/>
      <c r="S3" s="24" t="s">
        <v>5</v>
      </c>
      <c r="T3" s="24"/>
      <c r="U3" s="24"/>
      <c r="V3" s="24"/>
      <c r="W3" s="24"/>
      <c r="X3" s="24"/>
      <c r="AB3" s="24" t="s">
        <v>6</v>
      </c>
      <c r="AC3" s="24"/>
      <c r="AE3" t="s">
        <v>7</v>
      </c>
      <c r="AF3" s="24" t="s">
        <v>8</v>
      </c>
      <c r="AG3" s="24"/>
      <c r="AH3" s="24"/>
      <c r="AI3" s="24"/>
      <c r="AJ3" s="9" t="s">
        <v>9</v>
      </c>
    </row>
    <row r="4" spans="1:38">
      <c r="M4" s="20" t="s">
        <v>10</v>
      </c>
      <c r="Q4" s="20" t="s">
        <v>11</v>
      </c>
      <c r="R4" s="20" t="s">
        <v>11</v>
      </c>
      <c r="S4" s="23" t="s">
        <v>12</v>
      </c>
      <c r="T4" s="23"/>
      <c r="U4" s="20"/>
      <c r="V4" s="20"/>
      <c r="W4" s="23" t="s">
        <v>13</v>
      </c>
      <c r="X4" s="23"/>
      <c r="Y4" s="20"/>
      <c r="Z4" s="20"/>
      <c r="AA4" s="20"/>
      <c r="AB4" s="20" t="s">
        <v>14</v>
      </c>
      <c r="AC4" s="2" t="s">
        <v>15</v>
      </c>
      <c r="AD4" s="19" t="s">
        <v>16</v>
      </c>
    </row>
    <row r="5" spans="1:38" s="1" customFormat="1">
      <c r="A5" s="20" t="s">
        <v>17</v>
      </c>
      <c r="B5" s="20" t="s">
        <v>18</v>
      </c>
      <c r="C5" s="20" t="s">
        <v>19</v>
      </c>
      <c r="D5" s="20" t="s">
        <v>20</v>
      </c>
      <c r="E5" s="20" t="s">
        <v>21</v>
      </c>
      <c r="F5" s="20" t="s">
        <v>22</v>
      </c>
      <c r="G5" s="20" t="s">
        <v>23</v>
      </c>
      <c r="H5" s="20" t="s">
        <v>24</v>
      </c>
      <c r="I5" s="20" t="s">
        <v>25</v>
      </c>
      <c r="J5" s="20" t="s">
        <v>26</v>
      </c>
      <c r="K5" s="20" t="s">
        <v>27</v>
      </c>
      <c r="L5" s="20" t="s">
        <v>28</v>
      </c>
      <c r="M5" s="20" t="s">
        <v>29</v>
      </c>
      <c r="N5" s="20" t="s">
        <v>30</v>
      </c>
      <c r="O5" s="20" t="s">
        <v>31</v>
      </c>
      <c r="P5" s="20"/>
      <c r="Q5" s="20" t="s">
        <v>32</v>
      </c>
      <c r="R5" s="20" t="s">
        <v>33</v>
      </c>
      <c r="S5" s="20" t="s">
        <v>34</v>
      </c>
      <c r="T5" s="20" t="s">
        <v>35</v>
      </c>
      <c r="U5" s="2" t="s">
        <v>15</v>
      </c>
      <c r="V5" s="2" t="s">
        <v>36</v>
      </c>
      <c r="W5" s="20" t="s">
        <v>34</v>
      </c>
      <c r="X5" s="20" t="s">
        <v>35</v>
      </c>
      <c r="Y5" s="2" t="s">
        <v>15</v>
      </c>
      <c r="Z5" s="2" t="s">
        <v>36</v>
      </c>
      <c r="AA5" s="20"/>
      <c r="AB5" s="20" t="s">
        <v>12</v>
      </c>
      <c r="AC5" s="20" t="s">
        <v>12</v>
      </c>
      <c r="AD5" s="2" t="s">
        <v>37</v>
      </c>
      <c r="AE5" s="20" t="s">
        <v>38</v>
      </c>
      <c r="AF5" s="20" t="s">
        <v>39</v>
      </c>
      <c r="AG5" s="20" t="s">
        <v>40</v>
      </c>
      <c r="AH5" s="20" t="s">
        <v>41</v>
      </c>
      <c r="AI5" s="20" t="s">
        <v>42</v>
      </c>
      <c r="AJ5" s="20" t="s">
        <v>43</v>
      </c>
      <c r="AK5" s="20"/>
      <c r="AL5" s="20"/>
    </row>
    <row r="6" spans="1:38" s="1" customFormat="1">
      <c r="A6" s="20"/>
      <c r="B6" s="20" t="s">
        <v>44</v>
      </c>
      <c r="C6" s="20" t="s">
        <v>44</v>
      </c>
      <c r="D6" s="20" t="s">
        <v>44</v>
      </c>
      <c r="E6" s="20" t="s">
        <v>45</v>
      </c>
      <c r="F6" s="20" t="s">
        <v>46</v>
      </c>
      <c r="G6" s="20" t="s">
        <v>45</v>
      </c>
      <c r="H6" s="20" t="s">
        <v>46</v>
      </c>
      <c r="I6" s="20" t="s">
        <v>44</v>
      </c>
      <c r="J6" s="20"/>
      <c r="K6" s="20" t="s">
        <v>47</v>
      </c>
      <c r="L6" s="20"/>
      <c r="M6" s="20" t="s">
        <v>48</v>
      </c>
      <c r="N6" s="20" t="s">
        <v>44</v>
      </c>
      <c r="O6" s="20" t="s">
        <v>44</v>
      </c>
      <c r="P6" s="20"/>
      <c r="Q6" s="20" t="s">
        <v>49</v>
      </c>
      <c r="R6" s="20" t="s">
        <v>50</v>
      </c>
      <c r="S6" s="20" t="s">
        <v>49</v>
      </c>
      <c r="T6" s="20" t="s">
        <v>50</v>
      </c>
      <c r="U6" s="20" t="s">
        <v>12</v>
      </c>
      <c r="V6" s="20" t="s">
        <v>12</v>
      </c>
      <c r="W6" s="20" t="s">
        <v>49</v>
      </c>
      <c r="X6" s="20" t="s">
        <v>50</v>
      </c>
      <c r="Y6" s="20" t="s">
        <v>13</v>
      </c>
      <c r="Z6" s="20" t="s">
        <v>13</v>
      </c>
      <c r="AA6" s="20"/>
      <c r="AB6" s="20" t="s">
        <v>49</v>
      </c>
      <c r="AC6" s="20"/>
      <c r="AD6" s="20" t="s">
        <v>51</v>
      </c>
      <c r="AE6" s="20" t="s">
        <v>44</v>
      </c>
      <c r="AF6" s="20" t="s">
        <v>44</v>
      </c>
      <c r="AG6" s="20" t="s">
        <v>52</v>
      </c>
      <c r="AH6" s="20" t="s">
        <v>52</v>
      </c>
      <c r="AI6" s="20" t="s">
        <v>53</v>
      </c>
      <c r="AJ6" s="20" t="s">
        <v>49</v>
      </c>
      <c r="AK6" s="20"/>
      <c r="AL6" s="20"/>
    </row>
    <row r="7" spans="1:38">
      <c r="A7" s="20" t="s">
        <v>54</v>
      </c>
      <c r="B7" t="s">
        <v>55</v>
      </c>
      <c r="C7" t="s">
        <v>56</v>
      </c>
      <c r="D7" s="20">
        <v>2000</v>
      </c>
      <c r="E7" t="s">
        <v>57</v>
      </c>
      <c r="F7" s="21" t="s">
        <v>58</v>
      </c>
      <c r="H7" s="20" t="s">
        <v>59</v>
      </c>
      <c r="I7" s="21"/>
      <c r="AI7" s="7"/>
    </row>
    <row r="8" spans="1:38">
      <c r="A8" s="21">
        <v>1</v>
      </c>
      <c r="B8">
        <v>149</v>
      </c>
      <c r="C8">
        <v>149</v>
      </c>
      <c r="D8" s="3">
        <v>4.38</v>
      </c>
      <c r="E8">
        <v>262</v>
      </c>
      <c r="F8">
        <v>206</v>
      </c>
      <c r="G8">
        <v>41.1</v>
      </c>
      <c r="H8" s="4">
        <f>22*((G8+8)/10)^0.3</f>
        <v>35.460685634741765</v>
      </c>
      <c r="I8">
        <v>447</v>
      </c>
      <c r="J8" s="3">
        <f>I8/B8</f>
        <v>3</v>
      </c>
      <c r="K8" s="5">
        <f>SQRT(AB8/AJ8)</f>
        <v>0.10903515309900864</v>
      </c>
      <c r="L8" s="4">
        <f>C8/D8</f>
        <v>34.018264840182653</v>
      </c>
      <c r="M8" s="3">
        <f>L8/(52*SQRT(235/E8))</f>
        <v>0.6907573723883671</v>
      </c>
      <c r="N8" s="6">
        <v>45</v>
      </c>
      <c r="O8" s="6">
        <v>45</v>
      </c>
      <c r="P8" s="5"/>
      <c r="Q8">
        <v>755</v>
      </c>
      <c r="R8">
        <v>42.2</v>
      </c>
      <c r="S8">
        <v>803</v>
      </c>
      <c r="T8">
        <v>37.4</v>
      </c>
      <c r="U8" s="3">
        <f>Q8/S8</f>
        <v>0.94022415940224158</v>
      </c>
      <c r="V8" s="3">
        <f>R8/T8</f>
        <v>1.1283422459893049</v>
      </c>
      <c r="W8">
        <v>810</v>
      </c>
      <c r="X8">
        <v>36.6</v>
      </c>
      <c r="Y8" s="3">
        <f>Q8/W8</f>
        <v>0.9320987654320988</v>
      </c>
      <c r="Z8" s="3">
        <f>R8/X8</f>
        <v>1.1530054644808743</v>
      </c>
      <c r="AB8" s="6">
        <f t="shared" ref="AB8:AB28" si="0">(E8*AH8+G8*AG8)/1000</f>
        <v>1472.1647961599999</v>
      </c>
      <c r="AC8" s="3">
        <f t="shared" ref="AC8:AC28" si="1">Q8/AB8</f>
        <v>0.51285019310972846</v>
      </c>
      <c r="AD8" s="3">
        <f>E8*AH8/(1000*AB8)</f>
        <v>0.45092812335382826</v>
      </c>
      <c r="AE8">
        <f>B8-2*D8</f>
        <v>140.24</v>
      </c>
      <c r="AF8">
        <f>C8-2*D8</f>
        <v>140.24</v>
      </c>
      <c r="AG8" s="6">
        <f>AE8*AF8</f>
        <v>19667.257600000001</v>
      </c>
      <c r="AH8" s="6">
        <f t="shared" ref="AH8:AH28" si="2">B8*C8-AG8</f>
        <v>2533.7423999999992</v>
      </c>
      <c r="AI8" s="8">
        <f t="shared" ref="AI8:AI28" si="3">((C8*B8^3-AF8*AE8^3)*F8+(AF8*AE8^3)*H8*0.6)/12</f>
        <v>2506909486.0071845</v>
      </c>
      <c r="AJ8" s="6">
        <f t="shared" ref="AJ8:AJ28" si="4">(PI()^2*AI8)/(I8*I8)</f>
        <v>123829.28144492574</v>
      </c>
      <c r="AL8" s="4"/>
    </row>
    <row r="9" spans="1:38">
      <c r="A9" s="21">
        <v>2</v>
      </c>
      <c r="B9">
        <v>149</v>
      </c>
      <c r="C9">
        <v>149</v>
      </c>
      <c r="D9" s="3">
        <v>4.38</v>
      </c>
      <c r="E9">
        <v>262</v>
      </c>
      <c r="F9">
        <v>206</v>
      </c>
      <c r="G9">
        <v>41.1</v>
      </c>
      <c r="H9" s="4">
        <f t="shared" ref="H9:H28" si="5">22*((G9+8)/10)^0.3</f>
        <v>35.460685634741765</v>
      </c>
      <c r="I9">
        <v>447</v>
      </c>
      <c r="J9" s="3">
        <f t="shared" ref="J9:J23" si="6">I9/B9</f>
        <v>3</v>
      </c>
      <c r="K9" s="5">
        <f t="shared" ref="K9:K23" si="7">SQRT(AB9/AJ9)</f>
        <v>0.10903515309900864</v>
      </c>
      <c r="L9" s="4">
        <f t="shared" ref="L9:L42" si="8">C9/D9</f>
        <v>34.018264840182653</v>
      </c>
      <c r="M9" s="3">
        <f t="shared" ref="M9:M42" si="9">L9/(52*SQRT(235/E9))</f>
        <v>0.6907573723883671</v>
      </c>
      <c r="N9">
        <v>200</v>
      </c>
      <c r="O9">
        <v>200</v>
      </c>
      <c r="Q9">
        <v>259</v>
      </c>
      <c r="R9">
        <v>55.9</v>
      </c>
      <c r="S9">
        <v>215</v>
      </c>
      <c r="T9">
        <v>43.3</v>
      </c>
      <c r="U9" s="3">
        <f t="shared" ref="U9:U41" si="10">Q9/S9</f>
        <v>1.2046511627906977</v>
      </c>
      <c r="V9" s="3">
        <f t="shared" ref="V9:V42" si="11">R9/T9</f>
        <v>1.2909930715935336</v>
      </c>
      <c r="W9">
        <v>235</v>
      </c>
      <c r="X9">
        <v>47.2</v>
      </c>
      <c r="Y9" s="3">
        <f t="shared" ref="Y9:Y41" si="12">Q9/W9</f>
        <v>1.102127659574468</v>
      </c>
      <c r="Z9" s="3">
        <f t="shared" ref="Z9:Z42" si="13">R9/X9</f>
        <v>1.1843220338983049</v>
      </c>
      <c r="AB9" s="6">
        <f t="shared" si="0"/>
        <v>1472.1647961599999</v>
      </c>
      <c r="AC9" s="3">
        <f t="shared" si="1"/>
        <v>0.17593139074890024</v>
      </c>
      <c r="AD9" s="3">
        <f t="shared" ref="AD9:AD40" si="14">E9*AH9/(1000*AB9)</f>
        <v>0.45092812335382826</v>
      </c>
      <c r="AE9">
        <f t="shared" ref="AE9:AE22" si="15">B9-2*D9</f>
        <v>140.24</v>
      </c>
      <c r="AF9">
        <f t="shared" ref="AF9:AF22" si="16">C9-2*D9</f>
        <v>140.24</v>
      </c>
      <c r="AG9" s="6">
        <f t="shared" ref="AG9:AG22" si="17">AE9*AF9</f>
        <v>19667.257600000001</v>
      </c>
      <c r="AH9" s="6">
        <f t="shared" si="2"/>
        <v>2533.7423999999992</v>
      </c>
      <c r="AI9" s="8">
        <f t="shared" si="3"/>
        <v>2506909486.0071845</v>
      </c>
      <c r="AJ9" s="6">
        <f t="shared" si="4"/>
        <v>123829.28144492574</v>
      </c>
    </row>
    <row r="10" spans="1:38">
      <c r="A10" s="21">
        <v>3</v>
      </c>
      <c r="B10">
        <v>216</v>
      </c>
      <c r="C10">
        <v>216</v>
      </c>
      <c r="D10" s="3">
        <v>4.38</v>
      </c>
      <c r="E10">
        <v>262</v>
      </c>
      <c r="F10">
        <v>206</v>
      </c>
      <c r="G10">
        <v>25.4</v>
      </c>
      <c r="H10" s="4">
        <f t="shared" si="5"/>
        <v>31.589781418202406</v>
      </c>
      <c r="I10">
        <v>648</v>
      </c>
      <c r="J10" s="3">
        <f t="shared" si="6"/>
        <v>3</v>
      </c>
      <c r="K10" s="5">
        <f t="shared" si="7"/>
        <v>0.10090968972884698</v>
      </c>
      <c r="L10" s="4">
        <f t="shared" si="8"/>
        <v>49.315068493150683</v>
      </c>
      <c r="M10" s="3">
        <f t="shared" si="9"/>
        <v>1.0013663921871629</v>
      </c>
      <c r="N10">
        <v>60</v>
      </c>
      <c r="O10">
        <v>60</v>
      </c>
      <c r="Q10">
        <v>1141</v>
      </c>
      <c r="R10">
        <v>68.599999999999994</v>
      </c>
      <c r="S10">
        <v>1220</v>
      </c>
      <c r="T10">
        <v>73.5</v>
      </c>
      <c r="U10" s="3">
        <f t="shared" si="10"/>
        <v>0.93524590163934429</v>
      </c>
      <c r="V10" s="3">
        <f t="shared" si="11"/>
        <v>0.93333333333333324</v>
      </c>
      <c r="W10">
        <v>1185</v>
      </c>
      <c r="X10">
        <v>71.400000000000006</v>
      </c>
      <c r="Y10" s="3">
        <f t="shared" si="12"/>
        <v>0.96286919831223627</v>
      </c>
      <c r="Z10" s="3">
        <f t="shared" si="13"/>
        <v>0.96078431372549</v>
      </c>
      <c r="AB10" s="6">
        <f t="shared" si="0"/>
        <v>2062.2763958399996</v>
      </c>
      <c r="AC10" s="3">
        <f t="shared" si="1"/>
        <v>0.55327210373042723</v>
      </c>
      <c r="AD10" s="3">
        <f t="shared" si="14"/>
        <v>0.47102638170105116</v>
      </c>
      <c r="AE10">
        <f t="shared" si="15"/>
        <v>207.24</v>
      </c>
      <c r="AF10">
        <f t="shared" si="16"/>
        <v>207.24</v>
      </c>
      <c r="AG10" s="6">
        <f t="shared" si="17"/>
        <v>42948.417600000001</v>
      </c>
      <c r="AH10" s="6">
        <f t="shared" si="2"/>
        <v>3707.5823999999993</v>
      </c>
      <c r="AI10" s="8">
        <f t="shared" si="3"/>
        <v>8616509986.5039597</v>
      </c>
      <c r="AJ10" s="6">
        <f t="shared" si="4"/>
        <v>202526.16046722556</v>
      </c>
    </row>
    <row r="11" spans="1:38">
      <c r="A11" s="21">
        <v>4</v>
      </c>
      <c r="B11">
        <v>216</v>
      </c>
      <c r="C11">
        <v>216</v>
      </c>
      <c r="D11" s="3">
        <v>4.38</v>
      </c>
      <c r="E11">
        <v>262</v>
      </c>
      <c r="F11">
        <v>206</v>
      </c>
      <c r="G11">
        <v>25.4</v>
      </c>
      <c r="H11" s="4">
        <f t="shared" si="5"/>
        <v>31.589781418202406</v>
      </c>
      <c r="I11">
        <v>648</v>
      </c>
      <c r="J11" s="3">
        <f t="shared" si="6"/>
        <v>3</v>
      </c>
      <c r="K11" s="5">
        <f t="shared" si="7"/>
        <v>0.10090968972884698</v>
      </c>
      <c r="L11" s="4">
        <f t="shared" si="8"/>
        <v>49.315068493150683</v>
      </c>
      <c r="M11" s="3">
        <f t="shared" si="9"/>
        <v>1.0013663921871629</v>
      </c>
      <c r="N11">
        <v>200</v>
      </c>
      <c r="O11">
        <v>200</v>
      </c>
      <c r="Q11">
        <v>503</v>
      </c>
      <c r="R11">
        <v>101</v>
      </c>
      <c r="S11">
        <v>480</v>
      </c>
      <c r="T11">
        <v>94.8</v>
      </c>
      <c r="U11" s="3">
        <f t="shared" si="10"/>
        <v>1.0479166666666666</v>
      </c>
      <c r="V11" s="3">
        <f t="shared" si="11"/>
        <v>1.0654008438818565</v>
      </c>
      <c r="W11">
        <v>508</v>
      </c>
      <c r="X11">
        <v>101</v>
      </c>
      <c r="Y11" s="3">
        <f t="shared" si="12"/>
        <v>0.99015748031496065</v>
      </c>
      <c r="Z11" s="3">
        <f t="shared" si="13"/>
        <v>1</v>
      </c>
      <c r="AB11" s="6">
        <f t="shared" si="0"/>
        <v>2062.2763958399996</v>
      </c>
      <c r="AC11" s="3">
        <f t="shared" si="1"/>
        <v>0.24390523065416733</v>
      </c>
      <c r="AD11" s="3">
        <f t="shared" si="14"/>
        <v>0.47102638170105116</v>
      </c>
      <c r="AE11">
        <f t="shared" si="15"/>
        <v>207.24</v>
      </c>
      <c r="AF11">
        <f t="shared" si="16"/>
        <v>207.24</v>
      </c>
      <c r="AG11" s="6">
        <f t="shared" si="17"/>
        <v>42948.417600000001</v>
      </c>
      <c r="AH11" s="6">
        <f t="shared" si="2"/>
        <v>3707.5823999999993</v>
      </c>
      <c r="AI11" s="8">
        <f t="shared" si="3"/>
        <v>8616509986.5039597</v>
      </c>
      <c r="AJ11" s="6">
        <f t="shared" si="4"/>
        <v>202526.16046722556</v>
      </c>
    </row>
    <row r="12" spans="1:38">
      <c r="A12" s="21">
        <v>5</v>
      </c>
      <c r="B12">
        <v>216</v>
      </c>
      <c r="C12">
        <v>216</v>
      </c>
      <c r="D12" s="3">
        <v>4.38</v>
      </c>
      <c r="E12">
        <v>262</v>
      </c>
      <c r="F12">
        <v>206</v>
      </c>
      <c r="G12">
        <v>41.1</v>
      </c>
      <c r="H12" s="4">
        <f t="shared" si="5"/>
        <v>35.460685634741765</v>
      </c>
      <c r="I12">
        <v>648</v>
      </c>
      <c r="J12" s="3">
        <f t="shared" si="6"/>
        <v>3</v>
      </c>
      <c r="K12" s="5">
        <f t="shared" si="7"/>
        <v>0.11390605088053583</v>
      </c>
      <c r="L12" s="4">
        <f t="shared" si="8"/>
        <v>49.315068493150683</v>
      </c>
      <c r="M12" s="3">
        <f t="shared" si="9"/>
        <v>1.0013663921871629</v>
      </c>
      <c r="N12">
        <v>60</v>
      </c>
      <c r="O12">
        <v>60</v>
      </c>
      <c r="Q12">
        <v>1369</v>
      </c>
      <c r="R12">
        <v>83.4</v>
      </c>
      <c r="S12">
        <v>1560</v>
      </c>
      <c r="T12">
        <v>94</v>
      </c>
      <c r="U12" s="3">
        <f t="shared" si="10"/>
        <v>0.87756410256410255</v>
      </c>
      <c r="V12" s="3">
        <f t="shared" si="11"/>
        <v>0.8872340425531916</v>
      </c>
      <c r="W12">
        <v>1500</v>
      </c>
      <c r="X12">
        <v>91</v>
      </c>
      <c r="Y12" s="3">
        <f t="shared" si="12"/>
        <v>0.91266666666666663</v>
      </c>
      <c r="Z12" s="3">
        <f t="shared" si="13"/>
        <v>0.91648351648351656</v>
      </c>
      <c r="AB12" s="6">
        <f t="shared" si="0"/>
        <v>2736.5665521599999</v>
      </c>
      <c r="AC12" s="3">
        <f t="shared" si="1"/>
        <v>0.50026190626331901</v>
      </c>
      <c r="AD12" s="3">
        <f t="shared" si="14"/>
        <v>0.35496545407721747</v>
      </c>
      <c r="AE12">
        <f t="shared" si="15"/>
        <v>207.24</v>
      </c>
      <c r="AF12">
        <f t="shared" si="16"/>
        <v>207.24</v>
      </c>
      <c r="AG12" s="6">
        <f t="shared" si="17"/>
        <v>42948.417600000001</v>
      </c>
      <c r="AH12" s="6">
        <f t="shared" si="2"/>
        <v>3707.5823999999993</v>
      </c>
      <c r="AI12" s="8">
        <f t="shared" si="3"/>
        <v>8973517013.0197449</v>
      </c>
      <c r="AJ12" s="6">
        <f t="shared" si="4"/>
        <v>210917.40732393571</v>
      </c>
    </row>
    <row r="13" spans="1:38">
      <c r="A13" s="21">
        <v>6</v>
      </c>
      <c r="B13">
        <v>216</v>
      </c>
      <c r="C13">
        <v>216</v>
      </c>
      <c r="D13" s="3">
        <v>4.38</v>
      </c>
      <c r="E13">
        <v>262</v>
      </c>
      <c r="F13">
        <v>206</v>
      </c>
      <c r="G13">
        <v>41.1</v>
      </c>
      <c r="H13" s="4">
        <f t="shared" si="5"/>
        <v>35.460685634741765</v>
      </c>
      <c r="I13">
        <v>648</v>
      </c>
      <c r="J13" s="3">
        <f t="shared" si="6"/>
        <v>3</v>
      </c>
      <c r="K13" s="5">
        <f t="shared" si="7"/>
        <v>0.11390605088053583</v>
      </c>
      <c r="L13" s="4">
        <f t="shared" si="8"/>
        <v>49.315068493150683</v>
      </c>
      <c r="M13" s="3">
        <f t="shared" si="9"/>
        <v>1.0013663921871629</v>
      </c>
      <c r="N13">
        <v>100</v>
      </c>
      <c r="O13">
        <v>100</v>
      </c>
      <c r="Q13">
        <v>1028</v>
      </c>
      <c r="R13">
        <v>103</v>
      </c>
      <c r="S13">
        <v>1090</v>
      </c>
      <c r="T13">
        <v>109</v>
      </c>
      <c r="U13" s="3">
        <f t="shared" si="10"/>
        <v>0.94311926605504592</v>
      </c>
      <c r="V13" s="3">
        <f t="shared" si="11"/>
        <v>0.94495412844036697</v>
      </c>
      <c r="W13">
        <v>1100</v>
      </c>
      <c r="X13">
        <v>109.5</v>
      </c>
      <c r="Y13" s="3">
        <f t="shared" si="12"/>
        <v>0.93454545454545457</v>
      </c>
      <c r="Z13" s="3">
        <f t="shared" si="13"/>
        <v>0.94063926940639264</v>
      </c>
      <c r="AB13" s="6">
        <f t="shared" si="0"/>
        <v>2736.5665521599999</v>
      </c>
      <c r="AC13" s="3">
        <f t="shared" si="1"/>
        <v>0.37565320645631262</v>
      </c>
      <c r="AD13" s="3">
        <f t="shared" si="14"/>
        <v>0.35496545407721747</v>
      </c>
      <c r="AE13">
        <f t="shared" si="15"/>
        <v>207.24</v>
      </c>
      <c r="AF13">
        <f t="shared" si="16"/>
        <v>207.24</v>
      </c>
      <c r="AG13" s="6">
        <f t="shared" si="17"/>
        <v>42948.417600000001</v>
      </c>
      <c r="AH13" s="6">
        <f t="shared" si="2"/>
        <v>3707.5823999999993</v>
      </c>
      <c r="AI13" s="8">
        <f t="shared" si="3"/>
        <v>8973517013.0197449</v>
      </c>
      <c r="AJ13" s="6">
        <f t="shared" si="4"/>
        <v>210917.40732393571</v>
      </c>
    </row>
    <row r="14" spans="1:38">
      <c r="A14" s="21">
        <v>7</v>
      </c>
      <c r="B14">
        <v>215</v>
      </c>
      <c r="C14">
        <v>215</v>
      </c>
      <c r="D14" s="3">
        <v>4.38</v>
      </c>
      <c r="E14">
        <v>262</v>
      </c>
      <c r="F14">
        <v>206</v>
      </c>
      <c r="G14">
        <v>41.1</v>
      </c>
      <c r="H14" s="4">
        <f t="shared" si="5"/>
        <v>35.460685634741765</v>
      </c>
      <c r="I14">
        <v>645</v>
      </c>
      <c r="J14" s="3">
        <f t="shared" si="6"/>
        <v>3</v>
      </c>
      <c r="K14" s="5">
        <f t="shared" si="7"/>
        <v>0.11384214088584985</v>
      </c>
      <c r="L14" s="4">
        <f t="shared" si="8"/>
        <v>49.086757990867582</v>
      </c>
      <c r="M14" s="3">
        <f t="shared" si="9"/>
        <v>0.99673043666777794</v>
      </c>
      <c r="N14">
        <v>200</v>
      </c>
      <c r="O14">
        <v>200</v>
      </c>
      <c r="Q14">
        <v>580</v>
      </c>
      <c r="R14">
        <v>116</v>
      </c>
      <c r="S14">
        <v>530</v>
      </c>
      <c r="T14">
        <v>106</v>
      </c>
      <c r="U14" s="3">
        <f t="shared" si="10"/>
        <v>1.0943396226415094</v>
      </c>
      <c r="V14" s="3">
        <f t="shared" si="11"/>
        <v>1.0943396226415094</v>
      </c>
      <c r="W14">
        <v>560</v>
      </c>
      <c r="X14">
        <v>114.5</v>
      </c>
      <c r="Y14" s="3">
        <f t="shared" si="12"/>
        <v>1.0357142857142858</v>
      </c>
      <c r="Z14" s="3">
        <f t="shared" si="13"/>
        <v>1.0131004366812226</v>
      </c>
      <c r="AB14" s="6">
        <f t="shared" si="0"/>
        <v>2714.9822841599989</v>
      </c>
      <c r="AC14" s="3">
        <f t="shared" si="1"/>
        <v>0.21362938660185363</v>
      </c>
      <c r="AD14" s="3">
        <f t="shared" si="14"/>
        <v>0.35609674303975081</v>
      </c>
      <c r="AE14">
        <f t="shared" si="15"/>
        <v>206.24</v>
      </c>
      <c r="AF14">
        <f t="shared" si="16"/>
        <v>206.24</v>
      </c>
      <c r="AG14" s="6">
        <f t="shared" si="17"/>
        <v>42534.937600000005</v>
      </c>
      <c r="AH14" s="6">
        <f t="shared" si="2"/>
        <v>3690.0623999999953</v>
      </c>
      <c r="AI14" s="8">
        <f t="shared" si="3"/>
        <v>8830404035.3483868</v>
      </c>
      <c r="AJ14" s="6">
        <f t="shared" si="4"/>
        <v>209488.83968672954</v>
      </c>
    </row>
    <row r="15" spans="1:38">
      <c r="A15" s="21">
        <v>8</v>
      </c>
      <c r="B15">
        <v>216</v>
      </c>
      <c r="C15">
        <v>216</v>
      </c>
      <c r="D15" s="3">
        <v>4.38</v>
      </c>
      <c r="E15">
        <v>262</v>
      </c>
      <c r="F15">
        <v>206</v>
      </c>
      <c r="G15">
        <v>80.3</v>
      </c>
      <c r="H15" s="4">
        <f t="shared" si="5"/>
        <v>42.287391052158249</v>
      </c>
      <c r="I15">
        <v>648</v>
      </c>
      <c r="J15" s="3">
        <f t="shared" si="6"/>
        <v>3</v>
      </c>
      <c r="K15" s="5">
        <f t="shared" si="7"/>
        <v>0.13993839999596483</v>
      </c>
      <c r="L15" s="4">
        <f t="shared" si="8"/>
        <v>49.315068493150683</v>
      </c>
      <c r="M15" s="3">
        <f t="shared" si="9"/>
        <v>1.0013663921871629</v>
      </c>
      <c r="N15">
        <v>60</v>
      </c>
      <c r="O15">
        <v>60</v>
      </c>
      <c r="Q15">
        <v>2013</v>
      </c>
      <c r="R15">
        <v>122</v>
      </c>
      <c r="S15">
        <v>2440</v>
      </c>
      <c r="T15">
        <v>138</v>
      </c>
      <c r="U15" s="3">
        <f t="shared" si="10"/>
        <v>0.82499999999999996</v>
      </c>
      <c r="V15" s="3">
        <f t="shared" si="11"/>
        <v>0.88405797101449279</v>
      </c>
      <c r="W15">
        <v>2340</v>
      </c>
      <c r="X15">
        <v>132</v>
      </c>
      <c r="Y15" s="3">
        <f t="shared" si="12"/>
        <v>0.86025641025641031</v>
      </c>
      <c r="Z15" s="3">
        <f t="shared" si="13"/>
        <v>0.9242424242424242</v>
      </c>
      <c r="AB15" s="6">
        <f t="shared" si="0"/>
        <v>4420.1445220799997</v>
      </c>
      <c r="AC15" s="3">
        <f t="shared" si="1"/>
        <v>0.45541497341194109</v>
      </c>
      <c r="AD15" s="3">
        <f t="shared" si="14"/>
        <v>0.21976353577300947</v>
      </c>
      <c r="AE15">
        <f t="shared" si="15"/>
        <v>207.24</v>
      </c>
      <c r="AF15">
        <f t="shared" si="16"/>
        <v>207.24</v>
      </c>
      <c r="AG15" s="6">
        <f t="shared" si="17"/>
        <v>42948.417600000001</v>
      </c>
      <c r="AH15" s="6">
        <f t="shared" si="2"/>
        <v>3707.5823999999993</v>
      </c>
      <c r="AI15" s="8">
        <f t="shared" si="3"/>
        <v>9603132644.3127193</v>
      </c>
      <c r="AJ15" s="6">
        <f t="shared" si="4"/>
        <v>225716.1641959917</v>
      </c>
    </row>
    <row r="16" spans="1:38">
      <c r="A16" s="21">
        <v>9</v>
      </c>
      <c r="B16">
        <v>216</v>
      </c>
      <c r="C16">
        <v>216</v>
      </c>
      <c r="D16" s="3">
        <v>4.38</v>
      </c>
      <c r="E16">
        <v>262</v>
      </c>
      <c r="F16">
        <v>206</v>
      </c>
      <c r="G16">
        <v>80.3</v>
      </c>
      <c r="H16" s="4">
        <f t="shared" si="5"/>
        <v>42.287391052158249</v>
      </c>
      <c r="I16">
        <v>648</v>
      </c>
      <c r="J16" s="3">
        <f t="shared" si="6"/>
        <v>3</v>
      </c>
      <c r="K16" s="5">
        <f t="shared" si="7"/>
        <v>0.13993839999596483</v>
      </c>
      <c r="L16" s="4">
        <f t="shared" si="8"/>
        <v>49.315068493150683</v>
      </c>
      <c r="M16" s="3">
        <f t="shared" si="9"/>
        <v>1.0013663921871629</v>
      </c>
      <c r="N16">
        <v>100</v>
      </c>
      <c r="O16">
        <v>100</v>
      </c>
      <c r="Q16">
        <v>1447</v>
      </c>
      <c r="R16">
        <v>146</v>
      </c>
      <c r="S16">
        <v>1480</v>
      </c>
      <c r="T16">
        <v>148</v>
      </c>
      <c r="U16" s="3">
        <f t="shared" si="10"/>
        <v>0.97770270270270265</v>
      </c>
      <c r="V16" s="3">
        <f t="shared" si="11"/>
        <v>0.98648648648648651</v>
      </c>
      <c r="W16">
        <v>1520</v>
      </c>
      <c r="X16">
        <v>152</v>
      </c>
      <c r="Y16" s="3">
        <f t="shared" si="12"/>
        <v>0.95197368421052631</v>
      </c>
      <c r="Z16" s="3">
        <f t="shared" si="13"/>
        <v>0.96052631578947367</v>
      </c>
      <c r="AB16" s="6">
        <f t="shared" si="0"/>
        <v>4420.1445220799997</v>
      </c>
      <c r="AC16" s="3">
        <f t="shared" si="1"/>
        <v>0.3273648616627316</v>
      </c>
      <c r="AD16" s="3">
        <f t="shared" si="14"/>
        <v>0.21976353577300947</v>
      </c>
      <c r="AE16">
        <f t="shared" si="15"/>
        <v>207.24</v>
      </c>
      <c r="AF16">
        <f t="shared" si="16"/>
        <v>207.24</v>
      </c>
      <c r="AG16" s="6">
        <f t="shared" si="17"/>
        <v>42948.417600000001</v>
      </c>
      <c r="AH16" s="6">
        <f t="shared" si="2"/>
        <v>3707.5823999999993</v>
      </c>
      <c r="AI16" s="8">
        <f t="shared" si="3"/>
        <v>9603132644.3127193</v>
      </c>
      <c r="AJ16" s="6">
        <f t="shared" si="4"/>
        <v>225716.1641959917</v>
      </c>
    </row>
    <row r="17" spans="1:36">
      <c r="A17" s="21">
        <v>10</v>
      </c>
      <c r="B17">
        <v>323</v>
      </c>
      <c r="C17">
        <v>323</v>
      </c>
      <c r="D17" s="3">
        <v>4.38</v>
      </c>
      <c r="E17">
        <v>262</v>
      </c>
      <c r="F17">
        <v>206</v>
      </c>
      <c r="G17">
        <v>41.1</v>
      </c>
      <c r="H17" s="4">
        <f t="shared" si="5"/>
        <v>35.460685634741765</v>
      </c>
      <c r="I17">
        <v>969</v>
      </c>
      <c r="J17" s="3">
        <f t="shared" si="6"/>
        <v>3</v>
      </c>
      <c r="K17" s="5">
        <f t="shared" si="7"/>
        <v>0.11955308268966634</v>
      </c>
      <c r="L17" s="4">
        <f t="shared" si="8"/>
        <v>73.74429223744292</v>
      </c>
      <c r="M17" s="3">
        <f t="shared" si="9"/>
        <v>1.4974136327613594</v>
      </c>
      <c r="N17">
        <v>60</v>
      </c>
      <c r="O17">
        <v>60</v>
      </c>
      <c r="Q17">
        <v>3306</v>
      </c>
      <c r="R17">
        <v>201</v>
      </c>
      <c r="S17">
        <v>3740</v>
      </c>
      <c r="T17">
        <v>225</v>
      </c>
      <c r="U17" s="3">
        <f t="shared" si="10"/>
        <v>0.88395721925133686</v>
      </c>
      <c r="V17" s="3">
        <f t="shared" si="11"/>
        <v>0.89333333333333331</v>
      </c>
      <c r="W17">
        <v>3520</v>
      </c>
      <c r="X17">
        <v>209</v>
      </c>
      <c r="Y17" s="3">
        <f t="shared" si="12"/>
        <v>0.93920454545454546</v>
      </c>
      <c r="Z17" s="3">
        <f t="shared" si="13"/>
        <v>0.96172248803827753</v>
      </c>
      <c r="AB17" s="6">
        <f t="shared" si="0"/>
        <v>5521.03482816</v>
      </c>
      <c r="AC17" s="3">
        <f t="shared" si="1"/>
        <v>0.59880078697163253</v>
      </c>
      <c r="AD17" s="3">
        <f t="shared" si="14"/>
        <v>0.26490364837771224</v>
      </c>
      <c r="AE17">
        <f t="shared" si="15"/>
        <v>314.24</v>
      </c>
      <c r="AF17">
        <f t="shared" si="16"/>
        <v>314.24</v>
      </c>
      <c r="AG17" s="6">
        <f t="shared" si="17"/>
        <v>98746.777600000001</v>
      </c>
      <c r="AH17" s="6">
        <f t="shared" si="2"/>
        <v>5582.2223999999987</v>
      </c>
      <c r="AI17" s="8">
        <f t="shared" si="3"/>
        <v>36749102550.753426</v>
      </c>
      <c r="AJ17" s="6">
        <f t="shared" si="4"/>
        <v>386277.07036927005</v>
      </c>
    </row>
    <row r="18" spans="1:36">
      <c r="A18" s="21">
        <v>11</v>
      </c>
      <c r="B18">
        <v>323</v>
      </c>
      <c r="C18">
        <v>323</v>
      </c>
      <c r="D18" s="3">
        <v>4.38</v>
      </c>
      <c r="E18">
        <v>262</v>
      </c>
      <c r="F18">
        <v>206</v>
      </c>
      <c r="G18">
        <v>41.1</v>
      </c>
      <c r="H18" s="4">
        <f t="shared" si="5"/>
        <v>35.460685634741765</v>
      </c>
      <c r="I18">
        <v>969</v>
      </c>
      <c r="J18" s="3">
        <f t="shared" si="6"/>
        <v>3</v>
      </c>
      <c r="K18" s="5">
        <f t="shared" si="7"/>
        <v>0.11955308268966634</v>
      </c>
      <c r="L18" s="4">
        <f t="shared" si="8"/>
        <v>73.74429223744292</v>
      </c>
      <c r="M18" s="3">
        <f t="shared" si="9"/>
        <v>1.4974136327613594</v>
      </c>
      <c r="N18">
        <v>200</v>
      </c>
      <c r="O18">
        <v>200</v>
      </c>
      <c r="Q18">
        <v>1479</v>
      </c>
      <c r="R18">
        <v>297</v>
      </c>
      <c r="S18">
        <v>1440</v>
      </c>
      <c r="T18">
        <v>292</v>
      </c>
      <c r="U18" s="3">
        <f t="shared" si="10"/>
        <v>1.0270833333333333</v>
      </c>
      <c r="V18" s="3">
        <f t="shared" si="11"/>
        <v>1.0171232876712328</v>
      </c>
      <c r="W18">
        <v>1550</v>
      </c>
      <c r="X18">
        <v>308</v>
      </c>
      <c r="Y18" s="3">
        <f t="shared" si="12"/>
        <v>0.9541935483870968</v>
      </c>
      <c r="Z18" s="3">
        <f t="shared" si="13"/>
        <v>0.9642857142857143</v>
      </c>
      <c r="AB18" s="6">
        <f t="shared" si="0"/>
        <v>5521.03482816</v>
      </c>
      <c r="AC18" s="3">
        <f t="shared" si="1"/>
        <v>0.26788456259257243</v>
      </c>
      <c r="AD18" s="3">
        <f t="shared" si="14"/>
        <v>0.26490364837771224</v>
      </c>
      <c r="AE18">
        <f t="shared" si="15"/>
        <v>314.24</v>
      </c>
      <c r="AF18">
        <f t="shared" si="16"/>
        <v>314.24</v>
      </c>
      <c r="AG18" s="6">
        <f t="shared" si="17"/>
        <v>98746.777600000001</v>
      </c>
      <c r="AH18" s="6">
        <f t="shared" si="2"/>
        <v>5582.2223999999987</v>
      </c>
      <c r="AI18" s="8">
        <f t="shared" si="3"/>
        <v>36749102550.753426</v>
      </c>
      <c r="AJ18" s="6">
        <f t="shared" si="4"/>
        <v>386277.07036927005</v>
      </c>
    </row>
    <row r="19" spans="1:36">
      <c r="A19" s="21">
        <v>12</v>
      </c>
      <c r="B19">
        <v>145</v>
      </c>
      <c r="C19">
        <v>145</v>
      </c>
      <c r="D19">
        <v>6.36</v>
      </c>
      <c r="E19">
        <v>618</v>
      </c>
      <c r="F19">
        <v>206</v>
      </c>
      <c r="G19">
        <v>41.1</v>
      </c>
      <c r="H19" s="4">
        <f t="shared" si="5"/>
        <v>35.460685634741765</v>
      </c>
      <c r="I19">
        <v>435</v>
      </c>
      <c r="J19" s="3">
        <f t="shared" si="6"/>
        <v>3</v>
      </c>
      <c r="K19" s="5">
        <f t="shared" si="7"/>
        <v>0.13903045939996558</v>
      </c>
      <c r="L19" s="4">
        <f t="shared" si="8"/>
        <v>22.79874213836478</v>
      </c>
      <c r="M19" s="3">
        <f t="shared" si="9"/>
        <v>0.71099713277227683</v>
      </c>
      <c r="N19">
        <v>45</v>
      </c>
      <c r="O19">
        <v>45</v>
      </c>
      <c r="Q19">
        <v>1636</v>
      </c>
      <c r="R19">
        <v>85.3</v>
      </c>
      <c r="S19">
        <v>1472</v>
      </c>
      <c r="T19">
        <v>76.8</v>
      </c>
      <c r="U19" s="3">
        <f t="shared" si="10"/>
        <v>1.111413043478261</v>
      </c>
      <c r="V19" s="3">
        <f t="shared" si="11"/>
        <v>1.1106770833333333</v>
      </c>
      <c r="W19">
        <v>1565</v>
      </c>
      <c r="X19">
        <v>82.7</v>
      </c>
      <c r="Y19" s="3">
        <f t="shared" si="12"/>
        <v>1.0453674121405752</v>
      </c>
      <c r="Z19" s="3">
        <f t="shared" si="13"/>
        <v>1.0314389359129383</v>
      </c>
      <c r="AB19" s="6">
        <f t="shared" si="0"/>
        <v>2898.85472304</v>
      </c>
      <c r="AC19" s="3">
        <f t="shared" si="1"/>
        <v>0.56436081014930728</v>
      </c>
      <c r="AD19" s="3">
        <f t="shared" si="14"/>
        <v>0.7519131508991882</v>
      </c>
      <c r="AE19">
        <f t="shared" si="15"/>
        <v>132.28</v>
      </c>
      <c r="AF19">
        <f t="shared" si="16"/>
        <v>132.28</v>
      </c>
      <c r="AG19" s="6">
        <f t="shared" si="17"/>
        <v>17497.9984</v>
      </c>
      <c r="AH19" s="6">
        <f t="shared" si="2"/>
        <v>3527.0015999999996</v>
      </c>
      <c r="AI19" s="8">
        <f t="shared" si="3"/>
        <v>2875314165.9192543</v>
      </c>
      <c r="AJ19" s="6">
        <f t="shared" si="4"/>
        <v>149970.74036977804</v>
      </c>
    </row>
    <row r="20" spans="1:36">
      <c r="A20" s="21">
        <v>13</v>
      </c>
      <c r="B20">
        <v>145</v>
      </c>
      <c r="C20">
        <v>145</v>
      </c>
      <c r="D20">
        <v>6.36</v>
      </c>
      <c r="E20">
        <v>618</v>
      </c>
      <c r="F20">
        <v>206</v>
      </c>
      <c r="G20">
        <v>41.1</v>
      </c>
      <c r="H20" s="4">
        <f t="shared" si="5"/>
        <v>35.460685634741765</v>
      </c>
      <c r="I20">
        <v>435</v>
      </c>
      <c r="J20" s="3">
        <f t="shared" si="6"/>
        <v>3</v>
      </c>
      <c r="K20" s="5">
        <f t="shared" si="7"/>
        <v>0.13903045939996558</v>
      </c>
      <c r="L20" s="4">
        <f t="shared" si="8"/>
        <v>22.79874213836478</v>
      </c>
      <c r="M20" s="3">
        <f t="shared" si="9"/>
        <v>0.71099713277227683</v>
      </c>
      <c r="N20">
        <v>200</v>
      </c>
      <c r="O20">
        <v>200</v>
      </c>
      <c r="Q20">
        <v>611</v>
      </c>
      <c r="R20">
        <v>126</v>
      </c>
      <c r="S20">
        <v>483</v>
      </c>
      <c r="T20">
        <v>99.9</v>
      </c>
      <c r="U20" s="3">
        <f t="shared" si="10"/>
        <v>1.2650103519668736</v>
      </c>
      <c r="V20" s="3">
        <f t="shared" si="11"/>
        <v>1.2612612612612613</v>
      </c>
      <c r="W20">
        <v>580</v>
      </c>
      <c r="X20">
        <v>121.5</v>
      </c>
      <c r="Y20" s="3">
        <f t="shared" si="12"/>
        <v>1.0534482758620689</v>
      </c>
      <c r="Z20" s="3">
        <f t="shared" si="13"/>
        <v>1.037037037037037</v>
      </c>
      <c r="AB20" s="6">
        <f t="shared" si="0"/>
        <v>2898.85472304</v>
      </c>
      <c r="AC20" s="3">
        <f t="shared" si="1"/>
        <v>0.21077289425502854</v>
      </c>
      <c r="AD20" s="3">
        <f t="shared" si="14"/>
        <v>0.7519131508991882</v>
      </c>
      <c r="AE20">
        <f t="shared" si="15"/>
        <v>132.28</v>
      </c>
      <c r="AF20">
        <f t="shared" si="16"/>
        <v>132.28</v>
      </c>
      <c r="AG20" s="6">
        <f t="shared" si="17"/>
        <v>17497.9984</v>
      </c>
      <c r="AH20" s="6">
        <f t="shared" si="2"/>
        <v>3527.0015999999996</v>
      </c>
      <c r="AI20" s="8">
        <f t="shared" si="3"/>
        <v>2875314165.9192543</v>
      </c>
      <c r="AJ20" s="6">
        <f t="shared" si="4"/>
        <v>149970.74036977804</v>
      </c>
    </row>
    <row r="21" spans="1:36">
      <c r="A21" s="21">
        <v>14</v>
      </c>
      <c r="B21">
        <v>211</v>
      </c>
      <c r="C21">
        <v>211</v>
      </c>
      <c r="D21">
        <v>6.36</v>
      </c>
      <c r="E21">
        <v>618</v>
      </c>
      <c r="F21">
        <v>206</v>
      </c>
      <c r="G21">
        <v>25.4</v>
      </c>
      <c r="H21" s="4">
        <f t="shared" si="5"/>
        <v>31.589781418202406</v>
      </c>
      <c r="I21">
        <v>633</v>
      </c>
      <c r="J21" s="3">
        <f t="shared" si="6"/>
        <v>3</v>
      </c>
      <c r="K21" s="5">
        <f t="shared" si="7"/>
        <v>0.13126311579922892</v>
      </c>
      <c r="L21" s="4">
        <f t="shared" si="8"/>
        <v>33.176100628930818</v>
      </c>
      <c r="M21" s="3">
        <f t="shared" si="9"/>
        <v>1.0346234138962098</v>
      </c>
      <c r="N21">
        <v>60</v>
      </c>
      <c r="O21">
        <v>60</v>
      </c>
      <c r="Q21">
        <v>2393</v>
      </c>
      <c r="R21">
        <v>146</v>
      </c>
      <c r="S21">
        <v>2408</v>
      </c>
      <c r="T21">
        <v>147.19999999999999</v>
      </c>
      <c r="U21" s="3">
        <f t="shared" si="10"/>
        <v>0.9937707641196013</v>
      </c>
      <c r="V21" s="3">
        <f t="shared" si="11"/>
        <v>0.99184782608695665</v>
      </c>
      <c r="W21">
        <v>2540</v>
      </c>
      <c r="X21">
        <v>153</v>
      </c>
      <c r="Y21" s="3">
        <f t="shared" si="12"/>
        <v>0.94212598425196847</v>
      </c>
      <c r="Z21" s="3">
        <f t="shared" si="13"/>
        <v>0.95424836601307195</v>
      </c>
      <c r="AB21" s="6">
        <f t="shared" si="0"/>
        <v>4215.933652159998</v>
      </c>
      <c r="AC21" s="3">
        <f t="shared" si="1"/>
        <v>0.56760855303639957</v>
      </c>
      <c r="AD21" s="3">
        <f t="shared" si="14"/>
        <v>0.76313670333773498</v>
      </c>
      <c r="AE21">
        <f t="shared" si="15"/>
        <v>198.28</v>
      </c>
      <c r="AF21">
        <f t="shared" si="16"/>
        <v>198.28</v>
      </c>
      <c r="AG21" s="6">
        <f t="shared" si="17"/>
        <v>39314.958400000003</v>
      </c>
      <c r="AH21" s="6">
        <f t="shared" si="2"/>
        <v>5206.0415999999968</v>
      </c>
      <c r="AI21" s="8">
        <f t="shared" si="3"/>
        <v>9933814008.551918</v>
      </c>
      <c r="AJ21" s="6">
        <f t="shared" si="4"/>
        <v>244685.56525985774</v>
      </c>
    </row>
    <row r="22" spans="1:36">
      <c r="A22" s="21">
        <v>15</v>
      </c>
      <c r="B22">
        <v>211</v>
      </c>
      <c r="C22">
        <v>211</v>
      </c>
      <c r="D22">
        <v>6.36</v>
      </c>
      <c r="E22">
        <v>618</v>
      </c>
      <c r="F22">
        <v>206</v>
      </c>
      <c r="G22">
        <v>41.1</v>
      </c>
      <c r="H22" s="4">
        <f t="shared" si="5"/>
        <v>35.460685634741765</v>
      </c>
      <c r="I22">
        <v>633</v>
      </c>
      <c r="J22" s="3">
        <f t="shared" si="6"/>
        <v>3</v>
      </c>
      <c r="K22" s="5">
        <f t="shared" si="7"/>
        <v>0.13847437030924376</v>
      </c>
      <c r="L22" s="4">
        <f t="shared" si="8"/>
        <v>33.176100628930818</v>
      </c>
      <c r="M22" s="3">
        <f t="shared" si="9"/>
        <v>1.0346234138962098</v>
      </c>
      <c r="N22">
        <v>60</v>
      </c>
      <c r="O22">
        <v>60</v>
      </c>
      <c r="Q22">
        <v>2685</v>
      </c>
      <c r="R22">
        <v>165</v>
      </c>
      <c r="S22">
        <v>2729</v>
      </c>
      <c r="T22">
        <v>167.8</v>
      </c>
      <c r="U22" s="3">
        <f t="shared" si="10"/>
        <v>0.98387687797728107</v>
      </c>
      <c r="V22" s="3">
        <f t="shared" si="11"/>
        <v>0.9833134684147794</v>
      </c>
      <c r="W22">
        <v>2880</v>
      </c>
      <c r="X22">
        <v>173</v>
      </c>
      <c r="Y22" s="3">
        <f t="shared" si="12"/>
        <v>0.93229166666666663</v>
      </c>
      <c r="Z22" s="3">
        <f t="shared" si="13"/>
        <v>0.95375722543352603</v>
      </c>
      <c r="AB22" s="6">
        <f t="shared" si="0"/>
        <v>4833.1784990399983</v>
      </c>
      <c r="AC22" s="3">
        <f t="shared" si="1"/>
        <v>0.55553503776724045</v>
      </c>
      <c r="AD22" s="3">
        <f t="shared" si="14"/>
        <v>0.66567657483352805</v>
      </c>
      <c r="AE22">
        <f t="shared" si="15"/>
        <v>198.28</v>
      </c>
      <c r="AF22">
        <f t="shared" si="16"/>
        <v>198.28</v>
      </c>
      <c r="AG22" s="6">
        <f t="shared" si="17"/>
        <v>39314.958400000003</v>
      </c>
      <c r="AH22" s="6">
        <f t="shared" si="2"/>
        <v>5206.0415999999968</v>
      </c>
      <c r="AI22" s="8">
        <f t="shared" si="3"/>
        <v>10232970251.485701</v>
      </c>
      <c r="AJ22" s="6">
        <f t="shared" si="4"/>
        <v>252054.25711781392</v>
      </c>
    </row>
    <row r="23" spans="1:36">
      <c r="A23" s="21">
        <v>16</v>
      </c>
      <c r="B23">
        <v>211</v>
      </c>
      <c r="C23">
        <v>211</v>
      </c>
      <c r="D23">
        <v>6.36</v>
      </c>
      <c r="E23">
        <v>618</v>
      </c>
      <c r="F23">
        <v>206</v>
      </c>
      <c r="G23">
        <v>41.1</v>
      </c>
      <c r="H23" s="4">
        <f t="shared" si="5"/>
        <v>35.460685634741765</v>
      </c>
      <c r="I23">
        <v>633</v>
      </c>
      <c r="J23" s="3">
        <f t="shared" si="6"/>
        <v>3</v>
      </c>
      <c r="K23" s="5">
        <f t="shared" si="7"/>
        <v>0.13847437030924376</v>
      </c>
      <c r="L23" s="4">
        <f t="shared" si="8"/>
        <v>33.176100628930818</v>
      </c>
      <c r="M23" s="3">
        <f t="shared" si="9"/>
        <v>1.0346234138962098</v>
      </c>
      <c r="N23">
        <v>100</v>
      </c>
      <c r="O23">
        <v>100</v>
      </c>
      <c r="Q23">
        <v>2090</v>
      </c>
      <c r="R23">
        <v>216</v>
      </c>
      <c r="S23">
        <v>1994</v>
      </c>
      <c r="T23">
        <v>206.1</v>
      </c>
      <c r="U23" s="3">
        <f t="shared" si="10"/>
        <v>1.0481444332998997</v>
      </c>
      <c r="V23" s="3">
        <f t="shared" si="11"/>
        <v>1.0480349344978166</v>
      </c>
      <c r="W23">
        <v>2270</v>
      </c>
      <c r="X23">
        <v>226</v>
      </c>
      <c r="Y23" s="3">
        <f t="shared" si="12"/>
        <v>0.92070484581497802</v>
      </c>
      <c r="Z23" s="3">
        <f t="shared" si="13"/>
        <v>0.95575221238938057</v>
      </c>
      <c r="AB23" s="6">
        <f t="shared" si="0"/>
        <v>4833.1784990399983</v>
      </c>
      <c r="AC23" s="3">
        <f t="shared" si="1"/>
        <v>0.43242764578530074</v>
      </c>
      <c r="AD23" s="3">
        <f t="shared" si="14"/>
        <v>0.66567657483352805</v>
      </c>
      <c r="AE23">
        <f t="shared" ref="AE23:AE28" si="18">B23-2*D23</f>
        <v>198.28</v>
      </c>
      <c r="AF23">
        <f t="shared" ref="AF23:AF28" si="19">C23-2*D23</f>
        <v>198.28</v>
      </c>
      <c r="AG23" s="6">
        <f t="shared" ref="AG23:AG28" si="20">AE23*AF23</f>
        <v>39314.958400000003</v>
      </c>
      <c r="AH23" s="6">
        <f t="shared" si="2"/>
        <v>5206.0415999999968</v>
      </c>
      <c r="AI23" s="8">
        <f t="shared" si="3"/>
        <v>10232970251.485701</v>
      </c>
      <c r="AJ23" s="6">
        <f t="shared" si="4"/>
        <v>252054.25711781392</v>
      </c>
    </row>
    <row r="24" spans="1:36">
      <c r="A24" s="21">
        <v>17</v>
      </c>
      <c r="B24">
        <v>212</v>
      </c>
      <c r="C24">
        <v>212</v>
      </c>
      <c r="D24">
        <v>6.36</v>
      </c>
      <c r="E24">
        <v>618</v>
      </c>
      <c r="F24">
        <v>206</v>
      </c>
      <c r="G24">
        <v>41.1</v>
      </c>
      <c r="H24" s="4">
        <f t="shared" si="5"/>
        <v>35.460685634741765</v>
      </c>
      <c r="I24">
        <v>636</v>
      </c>
      <c r="J24" s="3">
        <f>I24/B24</f>
        <v>3</v>
      </c>
      <c r="K24" s="5">
        <f>SQRT(AB24/AJ24)</f>
        <v>0.13847264807689985</v>
      </c>
      <c r="L24" s="4">
        <f t="shared" si="8"/>
        <v>33.333333333333329</v>
      </c>
      <c r="M24" s="3">
        <f t="shared" si="9"/>
        <v>1.0395268423980872</v>
      </c>
      <c r="N24">
        <v>300</v>
      </c>
      <c r="O24">
        <v>300</v>
      </c>
      <c r="Q24">
        <v>858</v>
      </c>
      <c r="R24">
        <v>258</v>
      </c>
      <c r="S24">
        <v>770</v>
      </c>
      <c r="T24">
        <v>232</v>
      </c>
      <c r="U24" s="3">
        <f t="shared" si="10"/>
        <v>1.1142857142857143</v>
      </c>
      <c r="V24" s="3">
        <f t="shared" si="11"/>
        <v>1.1120689655172413</v>
      </c>
      <c r="W24">
        <v>980</v>
      </c>
      <c r="X24">
        <v>276</v>
      </c>
      <c r="Y24" s="3">
        <f t="shared" si="12"/>
        <v>0.8755102040816326</v>
      </c>
      <c r="Z24" s="3">
        <f t="shared" si="13"/>
        <v>0.93478260869565222</v>
      </c>
      <c r="AB24" s="6">
        <f t="shared" si="0"/>
        <v>4865.2401350400005</v>
      </c>
      <c r="AC24" s="3">
        <f t="shared" si="1"/>
        <v>0.17635306299078407</v>
      </c>
      <c r="AD24" s="3">
        <f t="shared" si="14"/>
        <v>0.6645212854993886</v>
      </c>
      <c r="AE24">
        <f t="shared" si="18"/>
        <v>199.28</v>
      </c>
      <c r="AF24">
        <f t="shared" si="19"/>
        <v>199.28</v>
      </c>
      <c r="AG24" s="6">
        <f t="shared" si="20"/>
        <v>39712.518400000001</v>
      </c>
      <c r="AH24" s="6">
        <f t="shared" si="2"/>
        <v>5231.4815999999992</v>
      </c>
      <c r="AI24" s="8">
        <f t="shared" si="3"/>
        <v>10398980687.138453</v>
      </c>
      <c r="AJ24" s="6">
        <f t="shared" si="4"/>
        <v>253732.60936232968</v>
      </c>
    </row>
    <row r="25" spans="1:36">
      <c r="A25" s="21">
        <v>18</v>
      </c>
      <c r="B25">
        <v>211</v>
      </c>
      <c r="C25">
        <v>211</v>
      </c>
      <c r="D25">
        <v>6.36</v>
      </c>
      <c r="E25">
        <v>618</v>
      </c>
      <c r="F25">
        <v>206</v>
      </c>
      <c r="G25">
        <v>80.3</v>
      </c>
      <c r="H25" s="4">
        <f t="shared" si="5"/>
        <v>42.287391052158249</v>
      </c>
      <c r="I25">
        <v>633</v>
      </c>
      <c r="J25" s="3">
        <f>I25/B25</f>
        <v>3</v>
      </c>
      <c r="K25" s="5">
        <f>SQRT(AB25/AJ25)</f>
        <v>0.15507917648970132</v>
      </c>
      <c r="L25" s="4">
        <f t="shared" si="8"/>
        <v>33.176100628930818</v>
      </c>
      <c r="M25" s="3">
        <f t="shared" si="9"/>
        <v>1.0346234138962098</v>
      </c>
      <c r="N25">
        <v>60</v>
      </c>
      <c r="O25">
        <v>60</v>
      </c>
      <c r="Q25">
        <v>3396</v>
      </c>
      <c r="R25">
        <v>206</v>
      </c>
      <c r="S25">
        <v>3507</v>
      </c>
      <c r="T25">
        <v>213.2</v>
      </c>
      <c r="U25" s="3">
        <f t="shared" si="10"/>
        <v>0.96834901625320791</v>
      </c>
      <c r="V25" s="3">
        <f t="shared" si="11"/>
        <v>0.9662288930581614</v>
      </c>
      <c r="W25">
        <v>3650</v>
      </c>
      <c r="X25">
        <v>219</v>
      </c>
      <c r="Y25" s="3">
        <f t="shared" si="12"/>
        <v>0.93041095890410963</v>
      </c>
      <c r="Z25" s="3">
        <f t="shared" si="13"/>
        <v>0.94063926940639264</v>
      </c>
      <c r="AB25" s="6">
        <f t="shared" si="0"/>
        <v>6374.3248683199981</v>
      </c>
      <c r="AC25" s="3">
        <f t="shared" si="1"/>
        <v>0.53276230348376352</v>
      </c>
      <c r="AD25" s="3">
        <f t="shared" si="14"/>
        <v>0.50473325022857685</v>
      </c>
      <c r="AE25">
        <f t="shared" si="18"/>
        <v>198.28</v>
      </c>
      <c r="AF25">
        <f t="shared" si="19"/>
        <v>198.28</v>
      </c>
      <c r="AG25" s="6">
        <f t="shared" si="20"/>
        <v>39314.958400000003</v>
      </c>
      <c r="AH25" s="6">
        <f t="shared" si="2"/>
        <v>5206.0415999999968</v>
      </c>
      <c r="AI25" s="8">
        <f t="shared" si="3"/>
        <v>10760560558.567961</v>
      </c>
      <c r="AJ25" s="6">
        <f t="shared" si="4"/>
        <v>265049.64160990418</v>
      </c>
    </row>
    <row r="26" spans="1:36">
      <c r="A26" s="21">
        <v>19</v>
      </c>
      <c r="B26">
        <v>211</v>
      </c>
      <c r="C26">
        <v>211</v>
      </c>
      <c r="D26">
        <v>6.36</v>
      </c>
      <c r="E26">
        <v>618</v>
      </c>
      <c r="F26">
        <v>206</v>
      </c>
      <c r="G26">
        <v>80.3</v>
      </c>
      <c r="H26" s="4">
        <f t="shared" si="5"/>
        <v>42.287391052158249</v>
      </c>
      <c r="I26">
        <v>633</v>
      </c>
      <c r="J26" s="3">
        <f>I26/B26</f>
        <v>3</v>
      </c>
      <c r="K26" s="5">
        <f>SQRT(AB26/AJ26)</f>
        <v>0.15507917648970132</v>
      </c>
      <c r="L26" s="4">
        <f t="shared" si="8"/>
        <v>33.176100628930818</v>
      </c>
      <c r="M26" s="3">
        <f t="shared" si="9"/>
        <v>1.0346234138962098</v>
      </c>
      <c r="N26">
        <v>200</v>
      </c>
      <c r="O26">
        <v>200</v>
      </c>
      <c r="Q26">
        <v>1484</v>
      </c>
      <c r="R26">
        <v>299</v>
      </c>
      <c r="S26">
        <v>1285</v>
      </c>
      <c r="T26">
        <v>259.10000000000002</v>
      </c>
      <c r="U26" s="3">
        <f t="shared" si="10"/>
        <v>1.1548638132295719</v>
      </c>
      <c r="V26" s="3">
        <f t="shared" si="11"/>
        <v>1.1539945966808181</v>
      </c>
      <c r="W26">
        <v>1520</v>
      </c>
      <c r="X26">
        <v>310</v>
      </c>
      <c r="Y26" s="3">
        <f t="shared" si="12"/>
        <v>0.97631578947368425</v>
      </c>
      <c r="Z26" s="3">
        <f t="shared" si="13"/>
        <v>0.96451612903225803</v>
      </c>
      <c r="AB26" s="6">
        <f t="shared" si="0"/>
        <v>6374.3248683199981</v>
      </c>
      <c r="AC26" s="3">
        <f t="shared" si="1"/>
        <v>0.23280896889573177</v>
      </c>
      <c r="AD26" s="3">
        <f t="shared" si="14"/>
        <v>0.50473325022857685</v>
      </c>
      <c r="AE26">
        <f t="shared" si="18"/>
        <v>198.28</v>
      </c>
      <c r="AF26">
        <f t="shared" si="19"/>
        <v>198.28</v>
      </c>
      <c r="AG26" s="6">
        <f t="shared" si="20"/>
        <v>39314.958400000003</v>
      </c>
      <c r="AH26" s="6">
        <f t="shared" si="2"/>
        <v>5206.0415999999968</v>
      </c>
      <c r="AI26" s="8">
        <f t="shared" si="3"/>
        <v>10760560558.567961</v>
      </c>
      <c r="AJ26" s="6">
        <f t="shared" si="4"/>
        <v>265049.64160990418</v>
      </c>
    </row>
    <row r="27" spans="1:36">
      <c r="A27" s="21">
        <v>20</v>
      </c>
      <c r="B27">
        <v>318</v>
      </c>
      <c r="C27">
        <v>318</v>
      </c>
      <c r="D27">
        <v>6.36</v>
      </c>
      <c r="E27">
        <v>618</v>
      </c>
      <c r="F27">
        <v>206</v>
      </c>
      <c r="G27">
        <v>41.1</v>
      </c>
      <c r="H27" s="4">
        <f t="shared" si="5"/>
        <v>35.460685634741765</v>
      </c>
      <c r="I27">
        <v>954</v>
      </c>
      <c r="J27" s="3">
        <f>I27/B27</f>
        <v>3</v>
      </c>
      <c r="K27" s="5">
        <f>SQRT(AB27/AJ27)</f>
        <v>0.13869937478229649</v>
      </c>
      <c r="L27" s="4">
        <f t="shared" si="8"/>
        <v>50</v>
      </c>
      <c r="M27" s="3">
        <f t="shared" si="9"/>
        <v>1.5592902635971311</v>
      </c>
      <c r="N27">
        <v>100</v>
      </c>
      <c r="O27">
        <v>100</v>
      </c>
      <c r="Q27">
        <v>4100</v>
      </c>
      <c r="R27">
        <v>408</v>
      </c>
      <c r="S27">
        <v>4685</v>
      </c>
      <c r="T27">
        <v>466.5</v>
      </c>
      <c r="U27" s="3">
        <f t="shared" si="10"/>
        <v>0.87513340448239063</v>
      </c>
      <c r="V27" s="3">
        <f t="shared" si="11"/>
        <v>0.87459807073954987</v>
      </c>
      <c r="W27">
        <v>4900</v>
      </c>
      <c r="X27">
        <v>488</v>
      </c>
      <c r="Y27" s="3">
        <f t="shared" si="12"/>
        <v>0.83673469387755106</v>
      </c>
      <c r="Z27" s="3">
        <f t="shared" si="13"/>
        <v>0.83606557377049184</v>
      </c>
      <c r="AB27" s="6">
        <f t="shared" si="0"/>
        <v>8729.9297510400083</v>
      </c>
      <c r="AC27" s="3">
        <f t="shared" si="1"/>
        <v>0.46964868182490949</v>
      </c>
      <c r="AD27" s="3">
        <f t="shared" si="14"/>
        <v>0.56123924115383805</v>
      </c>
      <c r="AE27">
        <f t="shared" si="18"/>
        <v>305.27999999999997</v>
      </c>
      <c r="AF27">
        <f t="shared" si="19"/>
        <v>305.27999999999997</v>
      </c>
      <c r="AG27" s="6">
        <f t="shared" si="20"/>
        <v>93195.878399999987</v>
      </c>
      <c r="AH27" s="6">
        <f t="shared" si="2"/>
        <v>7928.1216000000131</v>
      </c>
      <c r="AI27" s="8">
        <f t="shared" si="3"/>
        <v>41846462067.300995</v>
      </c>
      <c r="AJ27" s="6">
        <f t="shared" si="4"/>
        <v>453797.12716780364</v>
      </c>
    </row>
    <row r="28" spans="1:36">
      <c r="A28" s="21">
        <v>21</v>
      </c>
      <c r="B28">
        <v>319</v>
      </c>
      <c r="C28">
        <v>319</v>
      </c>
      <c r="D28">
        <v>6.36</v>
      </c>
      <c r="E28">
        <v>618</v>
      </c>
      <c r="F28">
        <v>206</v>
      </c>
      <c r="G28">
        <v>41.1</v>
      </c>
      <c r="H28" s="4">
        <f t="shared" si="5"/>
        <v>35.460685634741765</v>
      </c>
      <c r="I28">
        <v>957</v>
      </c>
      <c r="J28" s="3">
        <f>I28/B28</f>
        <v>3</v>
      </c>
      <c r="K28" s="5">
        <f>SQRT(AB28/AJ28)</f>
        <v>0.13870358944771324</v>
      </c>
      <c r="L28" s="4">
        <f t="shared" si="8"/>
        <v>50.15723270440251</v>
      </c>
      <c r="M28" s="3">
        <f t="shared" si="9"/>
        <v>1.5641936920990087</v>
      </c>
      <c r="N28">
        <v>300</v>
      </c>
      <c r="O28">
        <v>300</v>
      </c>
      <c r="Q28">
        <v>1967</v>
      </c>
      <c r="R28">
        <v>593</v>
      </c>
      <c r="S28">
        <v>1917</v>
      </c>
      <c r="T28">
        <v>579.20000000000005</v>
      </c>
      <c r="U28" s="3">
        <f t="shared" si="10"/>
        <v>1.0260824204486176</v>
      </c>
      <c r="V28" s="3">
        <f t="shared" si="11"/>
        <v>1.0238259668508287</v>
      </c>
      <c r="W28">
        <v>4280</v>
      </c>
      <c r="X28">
        <v>688</v>
      </c>
      <c r="Y28" s="3">
        <f t="shared" si="12"/>
        <v>0.45957943925233646</v>
      </c>
      <c r="Z28" s="3">
        <f t="shared" si="13"/>
        <v>0.86191860465116277</v>
      </c>
      <c r="AB28" s="6">
        <f t="shared" si="0"/>
        <v>8770.7867870400096</v>
      </c>
      <c r="AC28" s="3">
        <f t="shared" si="1"/>
        <v>0.22426722342703634</v>
      </c>
      <c r="AD28" s="3">
        <f t="shared" si="14"/>
        <v>0.56041734774159746</v>
      </c>
      <c r="AE28">
        <f t="shared" si="18"/>
        <v>306.27999999999997</v>
      </c>
      <c r="AF28">
        <f t="shared" si="19"/>
        <v>306.27999999999997</v>
      </c>
      <c r="AG28" s="6">
        <f t="shared" si="20"/>
        <v>93807.438399999985</v>
      </c>
      <c r="AH28" s="6">
        <f t="shared" si="2"/>
        <v>7953.5616000000155</v>
      </c>
      <c r="AI28" s="8">
        <f t="shared" si="3"/>
        <v>42304569855.093636</v>
      </c>
      <c r="AJ28" s="6">
        <f t="shared" si="4"/>
        <v>455893.24094695126</v>
      </c>
    </row>
    <row r="29" spans="1:36">
      <c r="A29" s="21"/>
      <c r="H29" s="4"/>
      <c r="J29" s="3"/>
      <c r="K29" s="5"/>
      <c r="L29" s="4"/>
      <c r="M29" s="3"/>
      <c r="U29" s="3"/>
      <c r="V29" s="3"/>
      <c r="Y29" s="3"/>
      <c r="Z29" s="3"/>
      <c r="AB29" s="6"/>
      <c r="AC29" s="3"/>
      <c r="AD29" s="3"/>
      <c r="AG29" s="6"/>
      <c r="AH29" s="6"/>
      <c r="AI29" s="8"/>
      <c r="AJ29" s="6"/>
    </row>
    <row r="30" spans="1:36">
      <c r="A30" s="20" t="s">
        <v>60</v>
      </c>
      <c r="B30" t="s">
        <v>61</v>
      </c>
      <c r="C30" s="20">
        <v>1997</v>
      </c>
      <c r="D30" t="s">
        <v>62</v>
      </c>
      <c r="E30" s="21" t="s">
        <v>63</v>
      </c>
      <c r="F30" s="20" t="s">
        <v>59</v>
      </c>
      <c r="H30" s="12" t="s">
        <v>59</v>
      </c>
      <c r="I30" t="s">
        <v>64</v>
      </c>
      <c r="J30" s="3"/>
      <c r="K30" s="5"/>
      <c r="L30" s="4"/>
      <c r="M30" s="3"/>
      <c r="U30" s="3"/>
      <c r="V30" s="3"/>
      <c r="Y30" s="3"/>
      <c r="Z30" s="3"/>
      <c r="AB30" s="6"/>
      <c r="AC30" s="3"/>
      <c r="AD30" s="3"/>
      <c r="AG30" s="6"/>
      <c r="AH30" s="6"/>
      <c r="AI30" s="8"/>
      <c r="AJ30" s="6"/>
    </row>
    <row r="31" spans="1:36">
      <c r="A31" t="s">
        <v>65</v>
      </c>
      <c r="B31">
        <v>186</v>
      </c>
      <c r="C31">
        <v>186</v>
      </c>
      <c r="D31">
        <v>3</v>
      </c>
      <c r="E31">
        <v>300</v>
      </c>
      <c r="F31">
        <v>200</v>
      </c>
      <c r="G31">
        <v>32</v>
      </c>
      <c r="H31" s="4">
        <f>22*((G31+8)/10)^0.3</f>
        <v>33.345764463228754</v>
      </c>
      <c r="I31">
        <v>540</v>
      </c>
      <c r="J31" s="3">
        <f t="shared" ref="J31:J41" si="21">I31/B31</f>
        <v>2.903225806451613</v>
      </c>
      <c r="K31" s="5">
        <f t="shared" ref="K31:K41" si="22">SQRT(AB31/AJ31)</f>
        <v>0.10918469116733022</v>
      </c>
      <c r="L31" s="4">
        <f t="shared" si="8"/>
        <v>62</v>
      </c>
      <c r="M31" s="3">
        <f t="shared" si="9"/>
        <v>1.3471471668343842</v>
      </c>
      <c r="N31">
        <v>0</v>
      </c>
      <c r="O31">
        <v>0</v>
      </c>
      <c r="Q31">
        <v>1555</v>
      </c>
      <c r="R31">
        <v>0</v>
      </c>
      <c r="S31">
        <v>1696</v>
      </c>
      <c r="T31">
        <v>0</v>
      </c>
      <c r="U31" s="3">
        <f t="shared" si="10"/>
        <v>0.91686320754716977</v>
      </c>
      <c r="V31" s="3"/>
      <c r="W31">
        <v>1540</v>
      </c>
      <c r="X31">
        <v>0</v>
      </c>
      <c r="Y31" s="3">
        <f t="shared" si="12"/>
        <v>1.0097402597402598</v>
      </c>
      <c r="Z31" s="3"/>
      <c r="AB31" s="6">
        <f t="shared" ref="AB31:AB42" si="23">(E31*AH31+G31*AG31)/1000</f>
        <v>1695.6</v>
      </c>
      <c r="AC31" s="3">
        <f t="shared" ref="AC31:AC41" si="24">Q31/AB31</f>
        <v>0.91707949988204773</v>
      </c>
      <c r="AD31" s="3">
        <f t="shared" si="14"/>
        <v>0.38853503184713378</v>
      </c>
      <c r="AE31">
        <f t="shared" ref="AE31:AE41" si="25">B31-2*D31</f>
        <v>180</v>
      </c>
      <c r="AF31">
        <f t="shared" ref="AF31:AF41" si="26">C31-2*D31</f>
        <v>180</v>
      </c>
      <c r="AG31" s="6">
        <f t="shared" ref="AG31:AG41" si="27">AE31*AF31</f>
        <v>32400</v>
      </c>
      <c r="AH31" s="6">
        <f t="shared" ref="AH31:AH42" si="28">B31*C31-AG31</f>
        <v>2196</v>
      </c>
      <c r="AI31" s="8">
        <f t="shared" ref="AI31:AI42" si="29">((C31*B31^3-AF31*AE31^3)*F31+(AF31*AE31^3)*H31*0.6)/12</f>
        <v>4202306085.1459503</v>
      </c>
      <c r="AJ31" s="6">
        <f t="shared" ref="AJ31:AJ42" si="30">(PI()^2*AI31)/(I31*I31)</f>
        <v>142232.84853457153</v>
      </c>
    </row>
    <row r="32" spans="1:36">
      <c r="A32" t="s">
        <v>66</v>
      </c>
      <c r="B32">
        <v>186</v>
      </c>
      <c r="C32">
        <v>186</v>
      </c>
      <c r="D32">
        <v>3</v>
      </c>
      <c r="E32">
        <v>300</v>
      </c>
      <c r="F32">
        <v>200</v>
      </c>
      <c r="G32">
        <v>32</v>
      </c>
      <c r="H32" s="4">
        <f t="shared" ref="H32:H42" si="31">22*((G32+8)/10)^0.3</f>
        <v>33.345764463228754</v>
      </c>
      <c r="I32">
        <v>540</v>
      </c>
      <c r="J32" s="3">
        <f t="shared" si="21"/>
        <v>2.903225806451613</v>
      </c>
      <c r="K32" s="5">
        <f t="shared" si="22"/>
        <v>0.10918469116733022</v>
      </c>
      <c r="L32" s="4">
        <f t="shared" si="8"/>
        <v>62</v>
      </c>
      <c r="M32" s="3">
        <f t="shared" si="9"/>
        <v>1.3471471668343842</v>
      </c>
      <c r="N32">
        <v>37</v>
      </c>
      <c r="O32">
        <v>37</v>
      </c>
      <c r="Q32">
        <v>1069</v>
      </c>
      <c r="R32">
        <v>39.6</v>
      </c>
      <c r="S32">
        <v>1147</v>
      </c>
      <c r="T32">
        <v>42.7</v>
      </c>
      <c r="U32" s="3">
        <f t="shared" si="10"/>
        <v>0.93199651264167394</v>
      </c>
      <c r="V32" s="3">
        <f t="shared" si="11"/>
        <v>0.92740046838407486</v>
      </c>
      <c r="W32">
        <v>1066</v>
      </c>
      <c r="X32">
        <v>39.5</v>
      </c>
      <c r="Y32" s="3">
        <f t="shared" si="12"/>
        <v>1.0028142589118199</v>
      </c>
      <c r="Z32" s="3">
        <f t="shared" si="13"/>
        <v>1.0025316455696203</v>
      </c>
      <c r="AB32" s="6">
        <f t="shared" si="23"/>
        <v>1695.6</v>
      </c>
      <c r="AC32" s="3">
        <f t="shared" si="24"/>
        <v>0.63045529606039163</v>
      </c>
      <c r="AD32" s="3">
        <f t="shared" si="14"/>
        <v>0.38853503184713378</v>
      </c>
      <c r="AE32">
        <f t="shared" si="25"/>
        <v>180</v>
      </c>
      <c r="AF32">
        <f t="shared" si="26"/>
        <v>180</v>
      </c>
      <c r="AG32" s="6">
        <f t="shared" si="27"/>
        <v>32400</v>
      </c>
      <c r="AH32" s="6">
        <f t="shared" si="28"/>
        <v>2196</v>
      </c>
      <c r="AI32" s="8">
        <f t="shared" si="29"/>
        <v>4202306085.1459503</v>
      </c>
      <c r="AJ32" s="6">
        <f t="shared" si="30"/>
        <v>142232.84853457153</v>
      </c>
    </row>
    <row r="33" spans="1:36">
      <c r="A33" t="s">
        <v>67</v>
      </c>
      <c r="B33">
        <v>186</v>
      </c>
      <c r="C33">
        <v>186</v>
      </c>
      <c r="D33">
        <v>3</v>
      </c>
      <c r="E33">
        <v>300</v>
      </c>
      <c r="F33">
        <v>200</v>
      </c>
      <c r="G33">
        <v>32</v>
      </c>
      <c r="H33" s="4">
        <f t="shared" si="31"/>
        <v>33.345764463228754</v>
      </c>
      <c r="I33">
        <v>540</v>
      </c>
      <c r="J33" s="3">
        <f t="shared" si="21"/>
        <v>2.903225806451613</v>
      </c>
      <c r="K33" s="5">
        <f t="shared" si="22"/>
        <v>0.10918469116733022</v>
      </c>
      <c r="L33" s="4">
        <f t="shared" si="8"/>
        <v>62</v>
      </c>
      <c r="M33" s="3">
        <f t="shared" si="9"/>
        <v>1.3471471668343842</v>
      </c>
      <c r="N33">
        <v>56</v>
      </c>
      <c r="O33">
        <v>56</v>
      </c>
      <c r="Q33">
        <v>1133</v>
      </c>
      <c r="R33">
        <v>63.4</v>
      </c>
      <c r="S33">
        <v>941</v>
      </c>
      <c r="T33">
        <v>53.1</v>
      </c>
      <c r="U33" s="3">
        <f t="shared" si="10"/>
        <v>1.20403825717322</v>
      </c>
      <c r="V33" s="3">
        <f t="shared" si="11"/>
        <v>1.1939736346516008</v>
      </c>
      <c r="W33">
        <v>915</v>
      </c>
      <c r="X33">
        <v>51.4</v>
      </c>
      <c r="Y33" s="3">
        <f t="shared" si="12"/>
        <v>1.2382513661202186</v>
      </c>
      <c r="Z33" s="3">
        <f t="shared" si="13"/>
        <v>1.2334630350194553</v>
      </c>
      <c r="AB33" s="6">
        <f t="shared" si="23"/>
        <v>1695.6</v>
      </c>
      <c r="AC33" s="3">
        <f t="shared" si="24"/>
        <v>0.66820004718093895</v>
      </c>
      <c r="AD33" s="3">
        <f t="shared" si="14"/>
        <v>0.38853503184713378</v>
      </c>
      <c r="AE33">
        <f t="shared" si="25"/>
        <v>180</v>
      </c>
      <c r="AF33">
        <f t="shared" si="26"/>
        <v>180</v>
      </c>
      <c r="AG33" s="6">
        <f t="shared" si="27"/>
        <v>32400</v>
      </c>
      <c r="AH33" s="6">
        <f t="shared" si="28"/>
        <v>2196</v>
      </c>
      <c r="AI33" s="8">
        <f t="shared" si="29"/>
        <v>4202306085.1459503</v>
      </c>
      <c r="AJ33" s="6">
        <f t="shared" si="30"/>
        <v>142232.84853457153</v>
      </c>
    </row>
    <row r="34" spans="1:36">
      <c r="A34" t="s">
        <v>68</v>
      </c>
      <c r="B34">
        <v>186</v>
      </c>
      <c r="C34">
        <v>186</v>
      </c>
      <c r="D34">
        <v>3</v>
      </c>
      <c r="E34">
        <v>300</v>
      </c>
      <c r="F34">
        <v>200</v>
      </c>
      <c r="G34">
        <v>32</v>
      </c>
      <c r="H34" s="4">
        <f t="shared" si="31"/>
        <v>33.345764463228754</v>
      </c>
      <c r="I34">
        <v>540</v>
      </c>
      <c r="J34" s="3">
        <f t="shared" si="21"/>
        <v>2.903225806451613</v>
      </c>
      <c r="K34" s="5">
        <f t="shared" si="22"/>
        <v>0.10918469116733022</v>
      </c>
      <c r="L34" s="4">
        <f t="shared" si="8"/>
        <v>62</v>
      </c>
      <c r="M34" s="3">
        <f t="shared" si="9"/>
        <v>1.3471471668343842</v>
      </c>
      <c r="N34">
        <v>84</v>
      </c>
      <c r="O34">
        <v>84</v>
      </c>
      <c r="Q34">
        <v>895</v>
      </c>
      <c r="R34">
        <v>75.2</v>
      </c>
      <c r="S34">
        <v>711</v>
      </c>
      <c r="T34">
        <v>59.9</v>
      </c>
      <c r="U34" s="3">
        <f t="shared" si="10"/>
        <v>1.2587904360056259</v>
      </c>
      <c r="V34" s="3">
        <f t="shared" si="11"/>
        <v>1.2554257095158599</v>
      </c>
      <c r="W34">
        <v>715</v>
      </c>
      <c r="X34">
        <v>60.4</v>
      </c>
      <c r="Y34" s="3">
        <f t="shared" si="12"/>
        <v>1.2517482517482517</v>
      </c>
      <c r="Z34" s="3">
        <f t="shared" si="13"/>
        <v>1.2450331125827816</v>
      </c>
      <c r="AB34" s="6">
        <f t="shared" si="23"/>
        <v>1695.6</v>
      </c>
      <c r="AC34" s="3">
        <f t="shared" si="24"/>
        <v>0.52783675395140361</v>
      </c>
      <c r="AD34" s="3">
        <f t="shared" si="14"/>
        <v>0.38853503184713378</v>
      </c>
      <c r="AE34">
        <f t="shared" si="25"/>
        <v>180</v>
      </c>
      <c r="AF34">
        <f t="shared" si="26"/>
        <v>180</v>
      </c>
      <c r="AG34" s="6">
        <f t="shared" si="27"/>
        <v>32400</v>
      </c>
      <c r="AH34" s="6">
        <f t="shared" si="28"/>
        <v>2196</v>
      </c>
      <c r="AI34" s="8">
        <f t="shared" si="29"/>
        <v>4202306085.1459503</v>
      </c>
      <c r="AJ34" s="6">
        <f t="shared" si="30"/>
        <v>142232.84853457153</v>
      </c>
    </row>
    <row r="35" spans="1:36">
      <c r="A35" t="s">
        <v>69</v>
      </c>
      <c r="B35">
        <v>186</v>
      </c>
      <c r="C35">
        <v>186</v>
      </c>
      <c r="D35">
        <v>3</v>
      </c>
      <c r="E35">
        <v>300</v>
      </c>
      <c r="F35">
        <v>200</v>
      </c>
      <c r="G35">
        <v>0</v>
      </c>
      <c r="H35" s="4">
        <f t="shared" si="31"/>
        <v>20.575465852097668</v>
      </c>
      <c r="I35">
        <v>540</v>
      </c>
      <c r="J35" s="3">
        <f t="shared" si="21"/>
        <v>2.903225806451613</v>
      </c>
      <c r="K35" s="5">
        <f t="shared" si="22"/>
        <v>7.4235081254235946E-2</v>
      </c>
      <c r="L35" s="4">
        <f t="shared" si="8"/>
        <v>62</v>
      </c>
      <c r="M35" s="3">
        <f t="shared" si="9"/>
        <v>1.3471471668343842</v>
      </c>
      <c r="N35">
        <v>0</v>
      </c>
      <c r="O35">
        <v>0</v>
      </c>
      <c r="Q35">
        <v>517</v>
      </c>
      <c r="R35" t="s">
        <v>59</v>
      </c>
      <c r="S35">
        <v>659</v>
      </c>
      <c r="T35">
        <v>0</v>
      </c>
      <c r="U35" s="3">
        <f t="shared" si="10"/>
        <v>0.78452200303490138</v>
      </c>
      <c r="V35" s="3" t="s">
        <v>59</v>
      </c>
      <c r="W35">
        <v>659</v>
      </c>
      <c r="X35">
        <v>0</v>
      </c>
      <c r="Y35" s="3">
        <f t="shared" si="12"/>
        <v>0.78452200303490138</v>
      </c>
      <c r="Z35" s="3" t="s">
        <v>59</v>
      </c>
      <c r="AB35" s="6">
        <f t="shared" si="23"/>
        <v>658.8</v>
      </c>
      <c r="AC35" s="3">
        <f t="shared" si="24"/>
        <v>0.78476017000607168</v>
      </c>
      <c r="AD35" s="3"/>
      <c r="AE35">
        <f t="shared" si="25"/>
        <v>180</v>
      </c>
      <c r="AF35">
        <f t="shared" si="26"/>
        <v>180</v>
      </c>
      <c r="AG35" s="6">
        <f t="shared" si="27"/>
        <v>32400</v>
      </c>
      <c r="AH35" s="6">
        <f t="shared" si="28"/>
        <v>2196</v>
      </c>
      <c r="AI35" s="8">
        <f t="shared" si="29"/>
        <v>3532018651.6449027</v>
      </c>
      <c r="AJ35" s="6">
        <f t="shared" si="30"/>
        <v>119546.04536695554</v>
      </c>
    </row>
    <row r="36" spans="1:36">
      <c r="A36" t="s">
        <v>70</v>
      </c>
      <c r="B36">
        <v>186</v>
      </c>
      <c r="C36">
        <v>186</v>
      </c>
      <c r="D36">
        <v>3</v>
      </c>
      <c r="E36">
        <v>300</v>
      </c>
      <c r="F36">
        <v>200</v>
      </c>
      <c r="G36">
        <v>32</v>
      </c>
      <c r="H36" s="4">
        <f t="shared" si="31"/>
        <v>33.345764463228754</v>
      </c>
      <c r="I36">
        <v>950</v>
      </c>
      <c r="J36" s="3">
        <f t="shared" si="21"/>
        <v>5.10752688172043</v>
      </c>
      <c r="K36" s="5">
        <f t="shared" si="22"/>
        <v>0.19208417890548832</v>
      </c>
      <c r="L36" s="4">
        <f t="shared" si="8"/>
        <v>62</v>
      </c>
      <c r="M36" s="3">
        <f t="shared" si="9"/>
        <v>1.3471471668343842</v>
      </c>
      <c r="N36" t="s">
        <v>35</v>
      </c>
      <c r="O36" t="s">
        <v>35</v>
      </c>
      <c r="Q36" t="s">
        <v>71</v>
      </c>
      <c r="R36">
        <v>62.6</v>
      </c>
      <c r="S36">
        <v>0</v>
      </c>
      <c r="T36">
        <v>48.7</v>
      </c>
      <c r="U36" s="3" t="s">
        <v>71</v>
      </c>
      <c r="V36" s="3">
        <f t="shared" si="11"/>
        <v>1.2854209445585214</v>
      </c>
      <c r="W36">
        <v>0</v>
      </c>
      <c r="X36">
        <v>53</v>
      </c>
      <c r="Y36" s="3" t="s">
        <v>71</v>
      </c>
      <c r="Z36" s="3">
        <f t="shared" si="13"/>
        <v>1.1811320754716981</v>
      </c>
      <c r="AB36" s="6">
        <f t="shared" si="23"/>
        <v>1695.6</v>
      </c>
      <c r="AC36" s="3"/>
      <c r="AD36" s="3"/>
      <c r="AE36">
        <f>B36-2*D36</f>
        <v>180</v>
      </c>
      <c r="AF36">
        <f>C36-2*D36</f>
        <v>180</v>
      </c>
      <c r="AG36" s="6">
        <f>AE36*AF36</f>
        <v>32400</v>
      </c>
      <c r="AH36" s="6">
        <f t="shared" si="28"/>
        <v>2196</v>
      </c>
      <c r="AI36" s="8">
        <f t="shared" si="29"/>
        <v>4202306085.1459503</v>
      </c>
      <c r="AJ36" s="6">
        <f t="shared" si="30"/>
        <v>45955.787958649373</v>
      </c>
    </row>
    <row r="37" spans="1:36">
      <c r="A37" t="s">
        <v>72</v>
      </c>
      <c r="B37">
        <v>126</v>
      </c>
      <c r="C37">
        <v>126</v>
      </c>
      <c r="D37">
        <v>3</v>
      </c>
      <c r="E37">
        <v>300</v>
      </c>
      <c r="F37">
        <v>200</v>
      </c>
      <c r="G37">
        <v>50</v>
      </c>
      <c r="H37" s="4">
        <f t="shared" si="31"/>
        <v>37.277869091614654</v>
      </c>
      <c r="I37">
        <v>360</v>
      </c>
      <c r="J37" s="3">
        <f t="shared" si="21"/>
        <v>2.8571428571428572</v>
      </c>
      <c r="K37" s="5">
        <f t="shared" si="22"/>
        <v>0.11617664440717347</v>
      </c>
      <c r="L37" s="4">
        <f t="shared" si="8"/>
        <v>42</v>
      </c>
      <c r="M37" s="3">
        <f t="shared" si="9"/>
        <v>0.9125835646297441</v>
      </c>
      <c r="N37">
        <v>0</v>
      </c>
      <c r="O37">
        <v>0</v>
      </c>
      <c r="Q37">
        <v>1114</v>
      </c>
      <c r="R37">
        <v>0</v>
      </c>
      <c r="S37">
        <v>1163</v>
      </c>
      <c r="T37">
        <v>0</v>
      </c>
      <c r="U37" s="3">
        <f t="shared" si="10"/>
        <v>0.95786758383490966</v>
      </c>
      <c r="V37" s="3"/>
      <c r="W37">
        <v>1054</v>
      </c>
      <c r="X37">
        <v>0</v>
      </c>
      <c r="Y37" s="3">
        <f t="shared" si="12"/>
        <v>1.0569259962049335</v>
      </c>
      <c r="Z37" s="3"/>
      <c r="AB37" s="6">
        <f t="shared" si="23"/>
        <v>1162.8</v>
      </c>
      <c r="AC37" s="3">
        <f t="shared" si="24"/>
        <v>0.95803233574131408</v>
      </c>
      <c r="AD37" s="3">
        <f t="shared" si="14"/>
        <v>0.38080495356037153</v>
      </c>
      <c r="AE37">
        <f t="shared" si="25"/>
        <v>120</v>
      </c>
      <c r="AF37">
        <f t="shared" si="26"/>
        <v>120</v>
      </c>
      <c r="AG37" s="6">
        <f t="shared" si="27"/>
        <v>14400</v>
      </c>
      <c r="AH37" s="6">
        <f t="shared" si="28"/>
        <v>1476</v>
      </c>
      <c r="AI37" s="8">
        <f t="shared" si="29"/>
        <v>1131286546.7418606</v>
      </c>
      <c r="AJ37" s="6">
        <f t="shared" si="30"/>
        <v>86152.39722698032</v>
      </c>
    </row>
    <row r="38" spans="1:36">
      <c r="A38" t="s">
        <v>73</v>
      </c>
      <c r="B38">
        <v>126</v>
      </c>
      <c r="C38">
        <v>126</v>
      </c>
      <c r="D38">
        <v>3</v>
      </c>
      <c r="E38">
        <v>300</v>
      </c>
      <c r="F38">
        <v>200</v>
      </c>
      <c r="G38">
        <v>50</v>
      </c>
      <c r="H38" s="4">
        <f t="shared" si="31"/>
        <v>37.277869091614654</v>
      </c>
      <c r="I38">
        <v>360</v>
      </c>
      <c r="J38" s="3">
        <f t="shared" si="21"/>
        <v>2.8571428571428572</v>
      </c>
      <c r="K38" s="5">
        <f t="shared" si="22"/>
        <v>0.11617664440717347</v>
      </c>
      <c r="L38" s="4">
        <f t="shared" si="8"/>
        <v>42</v>
      </c>
      <c r="M38" s="3">
        <f t="shared" si="9"/>
        <v>0.9125835646297441</v>
      </c>
      <c r="N38">
        <v>20</v>
      </c>
      <c r="O38">
        <v>20</v>
      </c>
      <c r="Q38">
        <v>996</v>
      </c>
      <c r="R38">
        <v>19.899999999999999</v>
      </c>
      <c r="S38">
        <v>847</v>
      </c>
      <c r="T38">
        <v>17</v>
      </c>
      <c r="U38" s="3">
        <f t="shared" si="10"/>
        <v>1.1759149940968123</v>
      </c>
      <c r="V38" s="3">
        <f t="shared" si="11"/>
        <v>1.1705882352941175</v>
      </c>
      <c r="W38">
        <v>772</v>
      </c>
      <c r="X38">
        <v>15.6</v>
      </c>
      <c r="Y38" s="3">
        <f t="shared" si="12"/>
        <v>1.2901554404145077</v>
      </c>
      <c r="Z38" s="3">
        <f t="shared" si="13"/>
        <v>1.2756410256410255</v>
      </c>
      <c r="AB38" s="6">
        <f t="shared" si="23"/>
        <v>1162.8</v>
      </c>
      <c r="AC38" s="3">
        <f t="shared" si="24"/>
        <v>0.85655314757481948</v>
      </c>
      <c r="AD38" s="3">
        <f t="shared" si="14"/>
        <v>0.38080495356037153</v>
      </c>
      <c r="AE38">
        <f t="shared" si="25"/>
        <v>120</v>
      </c>
      <c r="AF38">
        <f t="shared" si="26"/>
        <v>120</v>
      </c>
      <c r="AG38" s="6">
        <f t="shared" si="27"/>
        <v>14400</v>
      </c>
      <c r="AH38" s="6">
        <f t="shared" si="28"/>
        <v>1476</v>
      </c>
      <c r="AI38" s="8">
        <f t="shared" si="29"/>
        <v>1131286546.7418606</v>
      </c>
      <c r="AJ38" s="6">
        <f t="shared" si="30"/>
        <v>86152.39722698032</v>
      </c>
    </row>
    <row r="39" spans="1:36">
      <c r="A39" t="s">
        <v>74</v>
      </c>
      <c r="B39">
        <v>126</v>
      </c>
      <c r="C39">
        <v>126</v>
      </c>
      <c r="D39">
        <v>3</v>
      </c>
      <c r="E39">
        <v>300</v>
      </c>
      <c r="F39">
        <v>200</v>
      </c>
      <c r="G39">
        <v>50</v>
      </c>
      <c r="H39" s="4">
        <f t="shared" si="31"/>
        <v>37.277869091614654</v>
      </c>
      <c r="I39">
        <v>360</v>
      </c>
      <c r="J39" s="3">
        <f t="shared" si="21"/>
        <v>2.8571428571428572</v>
      </c>
      <c r="K39" s="5">
        <f t="shared" si="22"/>
        <v>0.11617664440717347</v>
      </c>
      <c r="L39" s="4">
        <f t="shared" si="8"/>
        <v>42</v>
      </c>
      <c r="M39" s="3">
        <f t="shared" si="9"/>
        <v>0.9125835646297441</v>
      </c>
      <c r="N39">
        <v>40</v>
      </c>
      <c r="O39">
        <v>40</v>
      </c>
      <c r="Q39">
        <v>739</v>
      </c>
      <c r="R39">
        <v>29.6</v>
      </c>
      <c r="S39">
        <v>620</v>
      </c>
      <c r="T39">
        <v>24.9</v>
      </c>
      <c r="U39" s="3">
        <f t="shared" si="10"/>
        <v>1.1919354838709677</v>
      </c>
      <c r="V39" s="3">
        <f t="shared" si="11"/>
        <v>1.1887550200803214</v>
      </c>
      <c r="W39">
        <v>600</v>
      </c>
      <c r="X39">
        <v>24</v>
      </c>
      <c r="Y39" s="3">
        <f t="shared" si="12"/>
        <v>1.2316666666666667</v>
      </c>
      <c r="Z39" s="3">
        <f t="shared" si="13"/>
        <v>1.2333333333333334</v>
      </c>
      <c r="AB39" s="6">
        <f t="shared" si="23"/>
        <v>1162.8</v>
      </c>
      <c r="AC39" s="3">
        <f t="shared" si="24"/>
        <v>0.63553491572067422</v>
      </c>
      <c r="AD39" s="3">
        <f t="shared" si="14"/>
        <v>0.38080495356037153</v>
      </c>
      <c r="AE39">
        <f t="shared" si="25"/>
        <v>120</v>
      </c>
      <c r="AF39">
        <f t="shared" si="26"/>
        <v>120</v>
      </c>
      <c r="AG39" s="6">
        <f t="shared" si="27"/>
        <v>14400</v>
      </c>
      <c r="AH39" s="6">
        <f t="shared" si="28"/>
        <v>1476</v>
      </c>
      <c r="AI39" s="8">
        <f t="shared" si="29"/>
        <v>1131286546.7418606</v>
      </c>
      <c r="AJ39" s="6">
        <f t="shared" si="30"/>
        <v>86152.39722698032</v>
      </c>
    </row>
    <row r="40" spans="1:36">
      <c r="A40" t="s">
        <v>75</v>
      </c>
      <c r="B40">
        <v>126</v>
      </c>
      <c r="C40">
        <v>126</v>
      </c>
      <c r="D40">
        <v>3</v>
      </c>
      <c r="E40">
        <v>300</v>
      </c>
      <c r="F40">
        <v>200</v>
      </c>
      <c r="G40">
        <v>50</v>
      </c>
      <c r="H40" s="4">
        <f t="shared" si="31"/>
        <v>37.277869091614654</v>
      </c>
      <c r="I40">
        <v>360</v>
      </c>
      <c r="J40" s="3">
        <f t="shared" si="21"/>
        <v>2.8571428571428572</v>
      </c>
      <c r="K40" s="5">
        <f t="shared" si="22"/>
        <v>0.11617664440717347</v>
      </c>
      <c r="L40" s="4">
        <f t="shared" si="8"/>
        <v>42</v>
      </c>
      <c r="M40" s="3">
        <f t="shared" si="9"/>
        <v>0.9125835646297441</v>
      </c>
      <c r="N40">
        <v>50</v>
      </c>
      <c r="O40">
        <v>50</v>
      </c>
      <c r="Q40">
        <v>619</v>
      </c>
      <c r="R40">
        <v>31</v>
      </c>
      <c r="S40">
        <v>533</v>
      </c>
      <c r="T40">
        <v>26.7</v>
      </c>
      <c r="U40" s="3">
        <f t="shared" si="10"/>
        <v>1.1613508442776737</v>
      </c>
      <c r="V40" s="3">
        <f t="shared" si="11"/>
        <v>1.1610486891385767</v>
      </c>
      <c r="W40">
        <v>528</v>
      </c>
      <c r="X40">
        <v>26.3</v>
      </c>
      <c r="Y40" s="3">
        <f t="shared" si="12"/>
        <v>1.1723484848484849</v>
      </c>
      <c r="Z40" s="3">
        <f t="shared" si="13"/>
        <v>1.1787072243346006</v>
      </c>
      <c r="AB40" s="6">
        <f t="shared" si="23"/>
        <v>1162.8</v>
      </c>
      <c r="AC40" s="3">
        <f t="shared" si="24"/>
        <v>0.53233574131406947</v>
      </c>
      <c r="AD40" s="3">
        <f t="shared" si="14"/>
        <v>0.38080495356037153</v>
      </c>
      <c r="AE40">
        <f t="shared" si="25"/>
        <v>120</v>
      </c>
      <c r="AF40">
        <f t="shared" si="26"/>
        <v>120</v>
      </c>
      <c r="AG40" s="6">
        <f t="shared" si="27"/>
        <v>14400</v>
      </c>
      <c r="AH40" s="6">
        <f t="shared" si="28"/>
        <v>1476</v>
      </c>
      <c r="AI40" s="8">
        <f t="shared" si="29"/>
        <v>1131286546.7418606</v>
      </c>
      <c r="AJ40" s="6">
        <f t="shared" si="30"/>
        <v>86152.39722698032</v>
      </c>
    </row>
    <row r="41" spans="1:36">
      <c r="A41" t="s">
        <v>76</v>
      </c>
      <c r="B41">
        <v>126</v>
      </c>
      <c r="C41">
        <v>126</v>
      </c>
      <c r="D41">
        <v>3</v>
      </c>
      <c r="E41">
        <v>300</v>
      </c>
      <c r="F41">
        <v>200</v>
      </c>
      <c r="G41">
        <v>0</v>
      </c>
      <c r="H41" s="4">
        <f t="shared" si="31"/>
        <v>20.575465852097668</v>
      </c>
      <c r="I41">
        <v>360</v>
      </c>
      <c r="J41" s="3">
        <f t="shared" si="21"/>
        <v>2.8571428571428572</v>
      </c>
      <c r="K41" s="5">
        <f t="shared" si="22"/>
        <v>7.7901779987933462E-2</v>
      </c>
      <c r="L41" s="4">
        <f t="shared" si="8"/>
        <v>42</v>
      </c>
      <c r="M41" s="3">
        <f t="shared" si="9"/>
        <v>0.9125835646297441</v>
      </c>
      <c r="N41">
        <v>0</v>
      </c>
      <c r="O41">
        <v>0</v>
      </c>
      <c r="Q41">
        <v>454</v>
      </c>
      <c r="R41" t="s">
        <v>59</v>
      </c>
      <c r="S41">
        <v>443</v>
      </c>
      <c r="T41">
        <v>0</v>
      </c>
      <c r="U41" s="3">
        <f t="shared" si="10"/>
        <v>1.0248306997742664</v>
      </c>
      <c r="V41" s="3" t="s">
        <v>59</v>
      </c>
      <c r="W41">
        <v>443</v>
      </c>
      <c r="X41">
        <v>0</v>
      </c>
      <c r="Y41" s="3">
        <f t="shared" si="12"/>
        <v>1.0248306997742664</v>
      </c>
      <c r="Z41" s="3" t="s">
        <v>59</v>
      </c>
      <c r="AB41" s="6">
        <f t="shared" si="23"/>
        <v>442.8</v>
      </c>
      <c r="AC41" s="3">
        <f t="shared" si="24"/>
        <v>1.0252935862691961</v>
      </c>
      <c r="AD41" s="3"/>
      <c r="AE41">
        <f t="shared" si="25"/>
        <v>120</v>
      </c>
      <c r="AF41">
        <f t="shared" si="26"/>
        <v>120</v>
      </c>
      <c r="AG41" s="6">
        <f t="shared" si="27"/>
        <v>14400</v>
      </c>
      <c r="AH41" s="6">
        <f t="shared" si="28"/>
        <v>1476</v>
      </c>
      <c r="AI41" s="8">
        <f t="shared" si="29"/>
        <v>958116029.95454848</v>
      </c>
      <c r="AJ41" s="6">
        <f t="shared" si="30"/>
        <v>72964.708225259834</v>
      </c>
    </row>
    <row r="42" spans="1:36">
      <c r="A42" t="s">
        <v>77</v>
      </c>
      <c r="B42">
        <v>126</v>
      </c>
      <c r="C42">
        <v>126</v>
      </c>
      <c r="D42">
        <v>3</v>
      </c>
      <c r="E42">
        <v>300</v>
      </c>
      <c r="F42">
        <v>200</v>
      </c>
      <c r="G42">
        <v>50</v>
      </c>
      <c r="H42" s="4">
        <f t="shared" si="31"/>
        <v>37.277869091614654</v>
      </c>
      <c r="I42">
        <v>600</v>
      </c>
      <c r="J42" s="3">
        <f>I42/B42</f>
        <v>4.7619047619047619</v>
      </c>
      <c r="K42" s="5">
        <f>SQRT(AB42/AJ42)</f>
        <v>0.19362774067862246</v>
      </c>
      <c r="L42" s="4">
        <f t="shared" si="8"/>
        <v>42</v>
      </c>
      <c r="M42" s="3">
        <f t="shared" si="9"/>
        <v>0.9125835646297441</v>
      </c>
      <c r="N42" t="s">
        <v>35</v>
      </c>
      <c r="O42" t="s">
        <v>35</v>
      </c>
      <c r="Q42" t="s">
        <v>71</v>
      </c>
      <c r="R42">
        <v>27.9</v>
      </c>
      <c r="S42">
        <v>0</v>
      </c>
      <c r="T42">
        <v>27.1</v>
      </c>
      <c r="U42" s="3" t="s">
        <v>71</v>
      </c>
      <c r="V42" s="3">
        <f t="shared" si="11"/>
        <v>1.0295202952029519</v>
      </c>
      <c r="W42">
        <v>0</v>
      </c>
      <c r="X42">
        <v>24</v>
      </c>
      <c r="Y42" s="3" t="s">
        <v>71</v>
      </c>
      <c r="Z42" s="3">
        <f t="shared" si="13"/>
        <v>1.1624999999999999</v>
      </c>
      <c r="AB42" s="6">
        <f t="shared" si="23"/>
        <v>1162.8</v>
      </c>
      <c r="AC42" s="3"/>
      <c r="AE42">
        <f>B42-2*D42</f>
        <v>120</v>
      </c>
      <c r="AF42">
        <f>C42-2*D42</f>
        <v>120</v>
      </c>
      <c r="AG42" s="6">
        <f>AE42*AF42</f>
        <v>14400</v>
      </c>
      <c r="AH42" s="6">
        <f t="shared" si="28"/>
        <v>1476</v>
      </c>
      <c r="AI42" s="8">
        <f t="shared" si="29"/>
        <v>1131286546.7418606</v>
      </c>
      <c r="AJ42" s="6">
        <f t="shared" si="30"/>
        <v>31014.863001712914</v>
      </c>
    </row>
    <row r="43" spans="1:36">
      <c r="N43" t="s">
        <v>78</v>
      </c>
      <c r="S43" t="s">
        <v>79</v>
      </c>
    </row>
    <row r="44" spans="1:36">
      <c r="E44" t="s">
        <v>80</v>
      </c>
      <c r="F44" t="s">
        <v>81</v>
      </c>
      <c r="G44">
        <f>COUNTIF(G8:G42,"&gt;60")</f>
        <v>4</v>
      </c>
      <c r="L44" t="s">
        <v>82</v>
      </c>
      <c r="M44" s="6">
        <f>COUNTIF(M8:M34,"&gt;1") + COUNTIF(M37:M40,"&gt;1")</f>
        <v>20</v>
      </c>
      <c r="N44" s="3">
        <f t="array" ref="N44">AVERAGE(IF(M8:M34 &gt;1,U8:U34),IF(M37:M40 &gt;1,U37:U40))</f>
        <v>0.99968920248382531</v>
      </c>
      <c r="AD44">
        <f>COUNTIF(AD8:AD42,"&lt;0.2")</f>
        <v>0</v>
      </c>
      <c r="AE44" t="s">
        <v>83</v>
      </c>
    </row>
    <row r="45" spans="1:36">
      <c r="F45" t="s">
        <v>84</v>
      </c>
      <c r="G45" s="3">
        <f>(SUMIF(G8:G42,"&gt;60",U8:U42)-SUMIF(S8:S42,"=0",U8:U42))/G44</f>
        <v>0.98147888304637065</v>
      </c>
      <c r="L45" t="s">
        <v>85</v>
      </c>
      <c r="M45" s="6">
        <f>COUNTIF(M8:M34,"&lt;=1") + COUNTIF(M37:M40,"&lt;=1")</f>
        <v>9</v>
      </c>
      <c r="N45" s="3">
        <f t="array" ref="N45">AVERAGE(IF(M8:M34 &lt;=1,IF(M8:M34 &gt;0.01,U8:U34)),IF(M37:M40 &lt;=1,IF(M37:M40 &gt;0.01,U37:U40)))</f>
        <v>1.1225230273733273</v>
      </c>
      <c r="AD45">
        <f>COUNTIF(AD8:AD42,"&gt;0.9")</f>
        <v>0</v>
      </c>
      <c r="AE45" t="s">
        <v>86</v>
      </c>
    </row>
    <row r="46" spans="1:36">
      <c r="E46" t="s">
        <v>80</v>
      </c>
      <c r="F46" t="s">
        <v>87</v>
      </c>
      <c r="G46" s="6">
        <f>COUNTIF(G8:G42,"&lt;=60")-COUNTIF(G8:G42,"&lt;0.5")-COUNTIF(S8:S42,"=0")</f>
        <v>25</v>
      </c>
    </row>
    <row r="47" spans="1:36">
      <c r="A47" t="s">
        <v>88</v>
      </c>
      <c r="F47" t="s">
        <v>84</v>
      </c>
      <c r="G47" s="3">
        <f>(SUMIF(G8:G42,"&lt;=60",U8:U42)-SUMIF(G8:G42,"&lt;0.5",U8:U42)-SUMIF(S8:S42,"=0",U8:U42))/G46</f>
        <v>1.0468230305540387</v>
      </c>
    </row>
    <row r="48" spans="1:36">
      <c r="A48" t="s">
        <v>54</v>
      </c>
      <c r="F48" s="21" t="s">
        <v>89</v>
      </c>
      <c r="G48" s="21" t="s">
        <v>90</v>
      </c>
    </row>
    <row r="49" spans="1:36">
      <c r="A49" s="21">
        <v>8</v>
      </c>
      <c r="B49">
        <v>216</v>
      </c>
      <c r="C49">
        <v>216</v>
      </c>
      <c r="D49" s="3">
        <v>4.38</v>
      </c>
      <c r="E49">
        <v>262</v>
      </c>
      <c r="F49">
        <v>206</v>
      </c>
      <c r="G49">
        <v>68.260000000000005</v>
      </c>
      <c r="H49" s="4">
        <f>22*((G49+8)/10)^0.3</f>
        <v>40.467998116023772</v>
      </c>
      <c r="I49">
        <v>648</v>
      </c>
      <c r="J49" s="3">
        <f>I49/B49</f>
        <v>3</v>
      </c>
      <c r="K49" s="5">
        <f>SQRT(AB49/AJ49)</f>
        <v>0.1326625455993953</v>
      </c>
      <c r="L49" s="4">
        <f>C49/D49</f>
        <v>49.315068493150683</v>
      </c>
      <c r="M49" s="3">
        <f>L49/(52*SQRT(235/E49))</f>
        <v>1.0013663921871629</v>
      </c>
      <c r="N49">
        <v>60</v>
      </c>
      <c r="O49">
        <v>60</v>
      </c>
      <c r="Q49">
        <v>2013</v>
      </c>
      <c r="R49">
        <v>122</v>
      </c>
      <c r="S49">
        <v>2107</v>
      </c>
      <c r="T49">
        <v>127.9</v>
      </c>
      <c r="U49" s="3">
        <f t="shared" ref="U49:V52" si="32">Q49/S49</f>
        <v>0.9553868058851448</v>
      </c>
      <c r="V49" s="3">
        <f t="shared" si="32"/>
        <v>0.95387021110242376</v>
      </c>
      <c r="Y49" s="3" t="e">
        <f t="shared" ref="Y49:Z52" si="33">Q49/W49</f>
        <v>#DIV/0!</v>
      </c>
      <c r="Z49" s="3" t="e">
        <f t="shared" si="33"/>
        <v>#DIV/0!</v>
      </c>
      <c r="AB49" s="6">
        <f>(E49*AH49+G49*AG49)/1000</f>
        <v>3903.0455741760006</v>
      </c>
      <c r="AC49" s="3">
        <f>Q49/AB49</f>
        <v>0.51575108764262345</v>
      </c>
      <c r="AD49" s="3">
        <f>E49*AH49/(1000*AB49)</f>
        <v>0.24887913049928354</v>
      </c>
      <c r="AE49">
        <f>B49-2*D49</f>
        <v>207.24</v>
      </c>
      <c r="AF49">
        <f>C49-2*D49</f>
        <v>207.24</v>
      </c>
      <c r="AG49" s="6">
        <f>AE49*AF49</f>
        <v>42948.417600000001</v>
      </c>
      <c r="AH49" s="6">
        <f>B49*C49-AG49</f>
        <v>3707.5823999999993</v>
      </c>
      <c r="AI49" s="8">
        <f>((C49*B49^3-AF49*AE49^3)*F49+(AF49*AE49^3)*H49*0.6)/12</f>
        <v>9435333074.5331573</v>
      </c>
      <c r="AJ49" s="6">
        <f>(PI()^2*AI49)/(I49*I49)</f>
        <v>221772.13086361747</v>
      </c>
    </row>
    <row r="50" spans="1:36">
      <c r="A50" s="21">
        <v>9</v>
      </c>
      <c r="B50">
        <v>216</v>
      </c>
      <c r="C50">
        <v>216</v>
      </c>
      <c r="D50" s="3">
        <v>4.38</v>
      </c>
      <c r="E50">
        <v>262</v>
      </c>
      <c r="F50">
        <v>206</v>
      </c>
      <c r="G50">
        <v>68.260000000000005</v>
      </c>
      <c r="H50" s="4">
        <f>22*((G50+8)/10)^0.3</f>
        <v>40.467998116023772</v>
      </c>
      <c r="I50">
        <v>648</v>
      </c>
      <c r="J50" s="3">
        <f>I50/B50</f>
        <v>3</v>
      </c>
      <c r="K50" s="5">
        <f>SQRT(AB50/AJ50)</f>
        <v>0.1326625455993953</v>
      </c>
      <c r="L50" s="4">
        <f>C50/D50</f>
        <v>49.315068493150683</v>
      </c>
      <c r="M50" s="3">
        <f>L50/(52*SQRT(235/E50))</f>
        <v>1.0013663921871629</v>
      </c>
      <c r="N50">
        <v>100</v>
      </c>
      <c r="O50">
        <v>100</v>
      </c>
      <c r="Q50">
        <v>1447</v>
      </c>
      <c r="R50">
        <v>146</v>
      </c>
      <c r="S50">
        <v>1362</v>
      </c>
      <c r="T50">
        <v>137.5</v>
      </c>
      <c r="U50" s="3">
        <f t="shared" si="32"/>
        <v>1.0624082232011747</v>
      </c>
      <c r="V50" s="3">
        <f t="shared" si="32"/>
        <v>1.0618181818181818</v>
      </c>
      <c r="Y50" s="3" t="e">
        <f t="shared" si="33"/>
        <v>#DIV/0!</v>
      </c>
      <c r="Z50" s="3" t="e">
        <f t="shared" si="33"/>
        <v>#DIV/0!</v>
      </c>
      <c r="AB50" s="6">
        <f>(E50*AH50+G50*AG50)/1000</f>
        <v>3903.0455741760006</v>
      </c>
      <c r="AC50" s="3">
        <f>Q50/AB50</f>
        <v>0.37073612708339598</v>
      </c>
      <c r="AD50" s="3">
        <f>E50*AH50/(1000*AB50)</f>
        <v>0.24887913049928354</v>
      </c>
      <c r="AE50">
        <f>B50-2*D50</f>
        <v>207.24</v>
      </c>
      <c r="AF50">
        <f>C50-2*D50</f>
        <v>207.24</v>
      </c>
      <c r="AG50" s="6">
        <f>AE50*AF50</f>
        <v>42948.417600000001</v>
      </c>
      <c r="AH50" s="6">
        <f>B50*C50-AG50</f>
        <v>3707.5823999999993</v>
      </c>
      <c r="AI50" s="8">
        <f>((C50*B50^3-AF50*AE50^3)*F50+(AF50*AE50^3)*H50*0.6)/12</f>
        <v>9435333074.5331573</v>
      </c>
      <c r="AJ50" s="6">
        <f>(PI()^2*AI50)/(I50*I50)</f>
        <v>221772.13086361747</v>
      </c>
    </row>
    <row r="51" spans="1:36">
      <c r="A51" s="21">
        <v>18</v>
      </c>
      <c r="B51">
        <v>211</v>
      </c>
      <c r="C51">
        <v>211</v>
      </c>
      <c r="D51">
        <v>6.36</v>
      </c>
      <c r="E51">
        <v>618</v>
      </c>
      <c r="F51">
        <v>206</v>
      </c>
      <c r="G51">
        <v>68.260000000000005</v>
      </c>
      <c r="H51" s="4">
        <f>22*((G51+8)/10)^0.3</f>
        <v>40.467998116023772</v>
      </c>
      <c r="I51">
        <v>633</v>
      </c>
      <c r="J51" s="3">
        <f>I51/B51</f>
        <v>3</v>
      </c>
      <c r="K51" s="5">
        <f>SQRT(AB51/AJ51)</f>
        <v>0.15019461717968741</v>
      </c>
      <c r="L51" s="4">
        <f>C51/D51</f>
        <v>33.176100628930818</v>
      </c>
      <c r="M51" s="3">
        <f>L51/(52*SQRT(235/E51))</f>
        <v>1.0346234138962098</v>
      </c>
      <c r="N51">
        <v>60</v>
      </c>
      <c r="O51">
        <v>60</v>
      </c>
      <c r="Q51">
        <v>3396</v>
      </c>
      <c r="R51">
        <v>206</v>
      </c>
      <c r="S51">
        <v>3282</v>
      </c>
      <c r="T51">
        <v>199.3</v>
      </c>
      <c r="U51" s="3">
        <f t="shared" si="32"/>
        <v>1.0347349177330896</v>
      </c>
      <c r="V51" s="3">
        <f t="shared" si="32"/>
        <v>1.0336176618163573</v>
      </c>
      <c r="Y51" s="3" t="e">
        <f t="shared" si="33"/>
        <v>#DIV/0!</v>
      </c>
      <c r="Z51" s="3" t="e">
        <f t="shared" si="33"/>
        <v>#DIV/0!</v>
      </c>
      <c r="AB51" s="6">
        <f>(E51*AH51+G51*AG51)/1000</f>
        <v>5900.9727691839989</v>
      </c>
      <c r="AC51" s="3">
        <f>Q51/AB51</f>
        <v>0.57549833439912779</v>
      </c>
      <c r="AD51" s="3">
        <f>E51*AH51/(1000*AB51)</f>
        <v>0.54522090418744618</v>
      </c>
      <c r="AE51">
        <f>B51-2*D51</f>
        <v>198.28</v>
      </c>
      <c r="AF51">
        <f>C51-2*D51</f>
        <v>198.28</v>
      </c>
      <c r="AG51" s="6">
        <f>AE51*AF51</f>
        <v>39314.958400000003</v>
      </c>
      <c r="AH51" s="6">
        <f>B51*C51-AG51</f>
        <v>5206.0415999999968</v>
      </c>
      <c r="AI51" s="8">
        <f>((C51*B51^3-AF51*AE51^3)*F51+(AF51*AE51^3)*H51*0.6)/12</f>
        <v>10619951872.651974</v>
      </c>
      <c r="AJ51" s="6">
        <f>(PI()^2*AI51)/(I51*I51)</f>
        <v>261586.22707806577</v>
      </c>
    </row>
    <row r="52" spans="1:36">
      <c r="A52" s="21">
        <v>19</v>
      </c>
      <c r="B52">
        <v>211</v>
      </c>
      <c r="C52">
        <v>211</v>
      </c>
      <c r="D52">
        <v>6.36</v>
      </c>
      <c r="E52">
        <v>618</v>
      </c>
      <c r="F52">
        <v>206</v>
      </c>
      <c r="G52">
        <v>68.260000000000005</v>
      </c>
      <c r="H52" s="4">
        <f>22*((G52+8)/10)^0.3</f>
        <v>40.467998116023772</v>
      </c>
      <c r="I52">
        <v>633</v>
      </c>
      <c r="J52" s="3">
        <f>I52/B52</f>
        <v>3</v>
      </c>
      <c r="K52" s="5">
        <f>SQRT(AB52/AJ52)</f>
        <v>0.15019461717968741</v>
      </c>
      <c r="L52" s="4">
        <f>C52/D52</f>
        <v>33.176100628930818</v>
      </c>
      <c r="M52" s="3">
        <f>L52/(52*SQRT(235/E52))</f>
        <v>1.0346234138962098</v>
      </c>
      <c r="N52">
        <v>200</v>
      </c>
      <c r="O52">
        <v>200</v>
      </c>
      <c r="Q52">
        <v>1484</v>
      </c>
      <c r="R52">
        <v>299</v>
      </c>
      <c r="S52">
        <v>1242</v>
      </c>
      <c r="T52">
        <v>250.7</v>
      </c>
      <c r="U52" s="3">
        <f t="shared" si="32"/>
        <v>1.1948470209339774</v>
      </c>
      <c r="V52" s="3">
        <f t="shared" si="32"/>
        <v>1.1926605504587156</v>
      </c>
      <c r="Y52" s="3" t="e">
        <f t="shared" si="33"/>
        <v>#DIV/0!</v>
      </c>
      <c r="Z52" s="3" t="e">
        <f t="shared" si="33"/>
        <v>#DIV/0!</v>
      </c>
      <c r="AB52" s="6">
        <f>(E52*AH52+G52*AG52)/1000</f>
        <v>5900.9727691839989</v>
      </c>
      <c r="AC52" s="3">
        <f>Q52/AB52</f>
        <v>0.25148396002600282</v>
      </c>
      <c r="AD52" s="3">
        <f>E52*AH52/(1000*AB52)</f>
        <v>0.54522090418744618</v>
      </c>
      <c r="AE52">
        <f>B52-2*D52</f>
        <v>198.28</v>
      </c>
      <c r="AF52">
        <f>C52-2*D52</f>
        <v>198.28</v>
      </c>
      <c r="AG52" s="6">
        <f>AE52*AF52</f>
        <v>39314.958400000003</v>
      </c>
      <c r="AH52" s="6">
        <f>B52*C52-AG52</f>
        <v>5206.0415999999968</v>
      </c>
      <c r="AI52" s="8">
        <f>((C52*B52^3-AF52*AE52^3)*F52+(AF52*AE52^3)*H52*0.6)/12</f>
        <v>10619951872.651974</v>
      </c>
      <c r="AJ52" s="6">
        <f>(PI()^2*AI52)/(I52*I52)</f>
        <v>261586.22707806577</v>
      </c>
    </row>
  </sheetData>
  <mergeCells count="7">
    <mergeCell ref="A1:H1"/>
    <mergeCell ref="AB3:AC3"/>
    <mergeCell ref="AF3:AI3"/>
    <mergeCell ref="S4:T4"/>
    <mergeCell ref="W4:X4"/>
    <mergeCell ref="S3:X3"/>
    <mergeCell ref="I3:K3"/>
  </mergeCells>
  <phoneticPr fontId="0" type="noConversion"/>
  <pageMargins left="0.75" right="0.75" top="1" bottom="1" header="0.5" footer="0.5"/>
  <pageSetup paperSize="9" orientation="landscape" horizontalDpi="300" verticalDpi="0" r:id="rId1"/>
  <headerFooter alignWithMargins="0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workbookViewId="0" xr3:uid="{958C4451-9541-5A59-BF78-D2F731DF1C81}">
      <pane xSplit="1" ySplit="6" topLeftCell="B41" activePane="bottomRight" state="frozen"/>
      <selection pane="bottomRight" activeCell="I52" sqref="I52"/>
      <selection pane="bottomLeft" activeCell="A7" sqref="A7"/>
      <selection pane="topRight" activeCell="B1" sqref="B1"/>
    </sheetView>
  </sheetViews>
  <sheetFormatPr defaultRowHeight="12.75"/>
  <cols>
    <col min="2" max="3" width="7.7109375" customWidth="1"/>
    <col min="4" max="4" width="4.7109375" customWidth="1"/>
    <col min="5" max="8" width="7.7109375" customWidth="1"/>
  </cols>
  <sheetData>
    <row r="1" spans="1:12">
      <c r="A1" s="23" t="s">
        <v>91</v>
      </c>
      <c r="B1" s="23"/>
      <c r="C1" s="23"/>
      <c r="D1" s="23"/>
      <c r="E1" s="23"/>
      <c r="F1" s="23"/>
    </row>
    <row r="2" spans="1:12">
      <c r="A2" s="24" t="s">
        <v>92</v>
      </c>
      <c r="B2" s="24"/>
      <c r="C2" s="24"/>
      <c r="D2" s="24"/>
      <c r="E2" s="24"/>
      <c r="F2" s="24"/>
    </row>
    <row r="3" spans="1:12">
      <c r="E3" s="24" t="s">
        <v>93</v>
      </c>
      <c r="F3" s="24"/>
      <c r="G3" s="24"/>
      <c r="H3" s="24"/>
      <c r="I3" s="24"/>
      <c r="J3" s="24"/>
    </row>
    <row r="4" spans="1:12">
      <c r="B4" s="23" t="s">
        <v>94</v>
      </c>
      <c r="C4" s="23"/>
      <c r="D4" s="20"/>
      <c r="E4" s="23" t="s">
        <v>12</v>
      </c>
      <c r="F4" s="23"/>
      <c r="G4" s="20"/>
      <c r="H4" s="20"/>
      <c r="I4" s="23" t="s">
        <v>13</v>
      </c>
      <c r="J4" s="23"/>
      <c r="K4" s="20"/>
      <c r="L4" s="20"/>
    </row>
    <row r="5" spans="1:12">
      <c r="A5" s="10" t="str">
        <f>Data!A5</f>
        <v>Ref. No.</v>
      </c>
      <c r="B5" s="20" t="str">
        <f>Data!Q5</f>
        <v>Nmax</v>
      </c>
      <c r="C5" s="20" t="s">
        <v>95</v>
      </c>
      <c r="D5" s="20"/>
      <c r="E5" s="20" t="s">
        <v>34</v>
      </c>
      <c r="F5" s="20" t="s">
        <v>35</v>
      </c>
      <c r="G5" s="2" t="s">
        <v>15</v>
      </c>
      <c r="H5" s="2" t="s">
        <v>36</v>
      </c>
      <c r="I5" s="20" t="s">
        <v>34</v>
      </c>
      <c r="J5" s="20" t="s">
        <v>35</v>
      </c>
      <c r="K5" s="2" t="s">
        <v>15</v>
      </c>
      <c r="L5" s="2" t="s">
        <v>36</v>
      </c>
    </row>
    <row r="6" spans="1:12">
      <c r="B6" s="20" t="str">
        <f>Data!Q6</f>
        <v>kN</v>
      </c>
      <c r="C6" s="20" t="s">
        <v>50</v>
      </c>
      <c r="D6" s="20"/>
      <c r="E6" s="20" t="s">
        <v>49</v>
      </c>
      <c r="F6" s="20" t="s">
        <v>50</v>
      </c>
      <c r="G6" s="20" t="s">
        <v>12</v>
      </c>
      <c r="H6" s="20" t="s">
        <v>12</v>
      </c>
      <c r="I6" s="20" t="s">
        <v>49</v>
      </c>
      <c r="J6" s="20" t="s">
        <v>50</v>
      </c>
      <c r="K6" s="20" t="s">
        <v>13</v>
      </c>
      <c r="L6" s="20" t="s">
        <v>13</v>
      </c>
    </row>
    <row r="7" spans="1:12">
      <c r="A7" s="10" t="str">
        <f>Data!A7</f>
        <v>Nakahara</v>
      </c>
      <c r="B7" t="s">
        <v>96</v>
      </c>
      <c r="C7" s="20">
        <v>2000</v>
      </c>
      <c r="E7" s="21" t="s">
        <v>97</v>
      </c>
    </row>
    <row r="8" spans="1:12">
      <c r="A8" s="21">
        <f>Data!A8</f>
        <v>1</v>
      </c>
      <c r="B8">
        <f>Data!Q8</f>
        <v>755</v>
      </c>
      <c r="C8" s="4">
        <f>Data!Q8*Data!N8/1000</f>
        <v>33.975000000000001</v>
      </c>
      <c r="D8" s="4"/>
      <c r="E8">
        <v>803</v>
      </c>
      <c r="F8">
        <v>37.4</v>
      </c>
      <c r="G8" s="3">
        <f>B8/E8</f>
        <v>0.94022415940224158</v>
      </c>
      <c r="H8" s="3">
        <f>C8/F8</f>
        <v>0.90842245989304815</v>
      </c>
      <c r="I8">
        <v>810</v>
      </c>
      <c r="J8">
        <v>36.6</v>
      </c>
      <c r="K8" s="3">
        <f>B8/I8</f>
        <v>0.9320987654320988</v>
      </c>
      <c r="L8" s="3">
        <f>C8/J8</f>
        <v>0.92827868852459017</v>
      </c>
    </row>
    <row r="9" spans="1:12">
      <c r="A9" s="21">
        <f>Data!A9</f>
        <v>2</v>
      </c>
      <c r="B9">
        <f>Data!Q9</f>
        <v>259</v>
      </c>
      <c r="C9" s="4">
        <f>Data!Q9*Data!N9/1000</f>
        <v>51.8</v>
      </c>
      <c r="D9" s="4"/>
      <c r="E9">
        <v>215</v>
      </c>
      <c r="F9">
        <v>43.3</v>
      </c>
      <c r="G9" s="3">
        <f t="shared" ref="G9:G42" si="0">B9/E9</f>
        <v>1.2046511627906977</v>
      </c>
      <c r="H9" s="3">
        <f t="shared" ref="H9:H43" si="1">C9/F9</f>
        <v>1.1963048498845266</v>
      </c>
      <c r="I9">
        <v>235</v>
      </c>
      <c r="J9">
        <v>47.2</v>
      </c>
      <c r="K9" s="3">
        <f t="shared" ref="K9:K42" si="2">B9/I9</f>
        <v>1.102127659574468</v>
      </c>
      <c r="L9" s="3">
        <f t="shared" ref="L9:L43" si="3">C9/J9</f>
        <v>1.097457627118644</v>
      </c>
    </row>
    <row r="10" spans="1:12">
      <c r="A10" s="21">
        <f>Data!A10</f>
        <v>3</v>
      </c>
      <c r="B10">
        <f>Data!Q10</f>
        <v>1141</v>
      </c>
      <c r="C10" s="4">
        <f>Data!Q10*Data!N10/1000</f>
        <v>68.459999999999994</v>
      </c>
      <c r="D10" s="4"/>
      <c r="E10">
        <v>1220</v>
      </c>
      <c r="F10">
        <v>73.5</v>
      </c>
      <c r="G10" s="3">
        <f t="shared" si="0"/>
        <v>0.93524590163934429</v>
      </c>
      <c r="H10" s="3">
        <f t="shared" si="1"/>
        <v>0.93142857142857138</v>
      </c>
      <c r="I10">
        <v>1185</v>
      </c>
      <c r="J10">
        <v>71.400000000000006</v>
      </c>
      <c r="K10" s="3">
        <f t="shared" si="2"/>
        <v>0.96286919831223627</v>
      </c>
      <c r="L10" s="3">
        <f t="shared" si="3"/>
        <v>0.95882352941176452</v>
      </c>
    </row>
    <row r="11" spans="1:12">
      <c r="A11" s="21">
        <f>Data!A11</f>
        <v>4</v>
      </c>
      <c r="B11">
        <f>Data!Q11</f>
        <v>503</v>
      </c>
      <c r="C11" s="4">
        <f>Data!Q11*Data!N11/1000</f>
        <v>100.6</v>
      </c>
      <c r="D11" s="4"/>
      <c r="E11">
        <v>480</v>
      </c>
      <c r="F11">
        <v>94.8</v>
      </c>
      <c r="G11" s="3">
        <f t="shared" si="0"/>
        <v>1.0479166666666666</v>
      </c>
      <c r="H11" s="3">
        <f t="shared" si="1"/>
        <v>1.0611814345991561</v>
      </c>
      <c r="I11">
        <v>508</v>
      </c>
      <c r="J11">
        <v>101</v>
      </c>
      <c r="K11" s="3">
        <f t="shared" si="2"/>
        <v>0.99015748031496065</v>
      </c>
      <c r="L11" s="3">
        <f t="shared" si="3"/>
        <v>0.99603960396039604</v>
      </c>
    </row>
    <row r="12" spans="1:12">
      <c r="A12" s="21">
        <f>Data!A12</f>
        <v>5</v>
      </c>
      <c r="B12">
        <f>Data!Q12</f>
        <v>1369</v>
      </c>
      <c r="C12" s="4">
        <f>Data!Q12*Data!N12/1000</f>
        <v>82.14</v>
      </c>
      <c r="D12" s="4"/>
      <c r="E12">
        <v>1560</v>
      </c>
      <c r="F12">
        <v>94</v>
      </c>
      <c r="G12" s="3">
        <f t="shared" si="0"/>
        <v>0.87756410256410255</v>
      </c>
      <c r="H12" s="3">
        <f t="shared" si="1"/>
        <v>0.87382978723404259</v>
      </c>
      <c r="I12">
        <v>1500</v>
      </c>
      <c r="J12">
        <v>91</v>
      </c>
      <c r="K12" s="3">
        <f t="shared" si="2"/>
        <v>0.91266666666666663</v>
      </c>
      <c r="L12" s="3">
        <f t="shared" si="3"/>
        <v>0.90263736263736261</v>
      </c>
    </row>
    <row r="13" spans="1:12">
      <c r="A13" s="21">
        <f>Data!A13</f>
        <v>6</v>
      </c>
      <c r="B13">
        <f>Data!Q13</f>
        <v>1028</v>
      </c>
      <c r="C13" s="4">
        <f>Data!Q13*Data!N13/1000</f>
        <v>102.8</v>
      </c>
      <c r="D13" s="4"/>
      <c r="E13">
        <v>1090</v>
      </c>
      <c r="F13">
        <v>109</v>
      </c>
      <c r="G13" s="3">
        <f t="shared" si="0"/>
        <v>0.94311926605504592</v>
      </c>
      <c r="H13" s="3">
        <f t="shared" si="1"/>
        <v>0.94311926605504581</v>
      </c>
      <c r="I13">
        <v>1100</v>
      </c>
      <c r="J13">
        <v>109.5</v>
      </c>
      <c r="K13" s="3">
        <f t="shared" si="2"/>
        <v>0.93454545454545457</v>
      </c>
      <c r="L13" s="3">
        <f t="shared" si="3"/>
        <v>0.93881278538812785</v>
      </c>
    </row>
    <row r="14" spans="1:12">
      <c r="A14" s="21">
        <f>Data!A14</f>
        <v>7</v>
      </c>
      <c r="B14">
        <f>Data!Q14</f>
        <v>580</v>
      </c>
      <c r="C14" s="4">
        <f>Data!Q14*Data!N14/1000</f>
        <v>116</v>
      </c>
      <c r="D14" s="4"/>
      <c r="E14">
        <v>530</v>
      </c>
      <c r="F14">
        <v>106</v>
      </c>
      <c r="G14" s="3">
        <f t="shared" si="0"/>
        <v>1.0943396226415094</v>
      </c>
      <c r="H14" s="3">
        <f t="shared" si="1"/>
        <v>1.0943396226415094</v>
      </c>
      <c r="I14">
        <v>560</v>
      </c>
      <c r="J14">
        <v>114.5</v>
      </c>
      <c r="K14" s="3">
        <f t="shared" si="2"/>
        <v>1.0357142857142858</v>
      </c>
      <c r="L14" s="3">
        <f t="shared" si="3"/>
        <v>1.0131004366812226</v>
      </c>
    </row>
    <row r="15" spans="1:12">
      <c r="A15" s="21">
        <f>Data!A15</f>
        <v>8</v>
      </c>
      <c r="B15">
        <f>Data!Q15</f>
        <v>2013</v>
      </c>
      <c r="C15" s="4">
        <f>Data!Q15*Data!N15/1000</f>
        <v>120.78</v>
      </c>
      <c r="D15" s="4"/>
      <c r="E15">
        <v>2440</v>
      </c>
      <c r="F15">
        <v>138</v>
      </c>
      <c r="G15" s="3">
        <f t="shared" si="0"/>
        <v>0.82499999999999996</v>
      </c>
      <c r="H15" s="3">
        <f t="shared" si="1"/>
        <v>0.87521739130434784</v>
      </c>
      <c r="I15">
        <v>2340</v>
      </c>
      <c r="J15">
        <v>132</v>
      </c>
      <c r="K15" s="3">
        <f t="shared" si="2"/>
        <v>0.86025641025641031</v>
      </c>
      <c r="L15" s="3">
        <f t="shared" si="3"/>
        <v>0.91500000000000004</v>
      </c>
    </row>
    <row r="16" spans="1:12">
      <c r="A16" s="21">
        <f>Data!A16</f>
        <v>9</v>
      </c>
      <c r="B16">
        <f>Data!Q16</f>
        <v>1447</v>
      </c>
      <c r="C16" s="4">
        <f>Data!Q16*Data!N16/1000</f>
        <v>144.69999999999999</v>
      </c>
      <c r="D16" s="4"/>
      <c r="E16">
        <v>1480</v>
      </c>
      <c r="F16">
        <v>148</v>
      </c>
      <c r="G16" s="3">
        <f t="shared" si="0"/>
        <v>0.97770270270270265</v>
      </c>
      <c r="H16" s="3">
        <f t="shared" si="1"/>
        <v>0.97770270270270265</v>
      </c>
      <c r="I16">
        <v>1520</v>
      </c>
      <c r="J16">
        <v>152</v>
      </c>
      <c r="K16" s="3">
        <f t="shared" si="2"/>
        <v>0.95197368421052631</v>
      </c>
      <c r="L16" s="3">
        <f t="shared" si="3"/>
        <v>0.95197368421052619</v>
      </c>
    </row>
    <row r="17" spans="1:12">
      <c r="A17" s="21">
        <f>Data!A17</f>
        <v>10</v>
      </c>
      <c r="B17">
        <f>Data!Q17</f>
        <v>3306</v>
      </c>
      <c r="C17" s="4">
        <f>Data!Q17*Data!N17/1000</f>
        <v>198.36</v>
      </c>
      <c r="D17" s="4"/>
      <c r="E17">
        <v>3740</v>
      </c>
      <c r="F17">
        <v>225</v>
      </c>
      <c r="G17" s="3">
        <f t="shared" si="0"/>
        <v>0.88395721925133686</v>
      </c>
      <c r="H17" s="3">
        <f t="shared" si="1"/>
        <v>0.88160000000000005</v>
      </c>
      <c r="I17">
        <v>3520</v>
      </c>
      <c r="J17">
        <v>209</v>
      </c>
      <c r="K17" s="3">
        <f t="shared" si="2"/>
        <v>0.93920454545454546</v>
      </c>
      <c r="L17" s="3">
        <f t="shared" si="3"/>
        <v>0.94909090909090921</v>
      </c>
    </row>
    <row r="18" spans="1:12">
      <c r="A18" s="21">
        <f>Data!A18</f>
        <v>11</v>
      </c>
      <c r="B18">
        <f>Data!Q18</f>
        <v>1479</v>
      </c>
      <c r="C18" s="4">
        <f>Data!Q18*Data!N18/1000</f>
        <v>295.8</v>
      </c>
      <c r="D18" s="4"/>
      <c r="E18">
        <v>1440</v>
      </c>
      <c r="F18">
        <v>292</v>
      </c>
      <c r="G18" s="3">
        <f t="shared" si="0"/>
        <v>1.0270833333333333</v>
      </c>
      <c r="H18" s="3">
        <f t="shared" si="1"/>
        <v>1.013013698630137</v>
      </c>
      <c r="I18">
        <v>1550</v>
      </c>
      <c r="J18">
        <v>308</v>
      </c>
      <c r="K18" s="3">
        <f t="shared" si="2"/>
        <v>0.9541935483870968</v>
      </c>
      <c r="L18" s="3">
        <f t="shared" si="3"/>
        <v>0.96038961038961046</v>
      </c>
    </row>
    <row r="19" spans="1:12">
      <c r="A19" s="21">
        <f>Data!A19</f>
        <v>12</v>
      </c>
      <c r="B19">
        <f>Data!Q19</f>
        <v>1636</v>
      </c>
      <c r="C19" s="4">
        <f>Data!Q19*Data!N19/1000</f>
        <v>73.62</v>
      </c>
      <c r="D19" s="4"/>
      <c r="E19">
        <v>1472</v>
      </c>
      <c r="F19">
        <v>76.8</v>
      </c>
      <c r="G19" s="3">
        <f t="shared" si="0"/>
        <v>1.111413043478261</v>
      </c>
      <c r="H19" s="3">
        <f t="shared" si="1"/>
        <v>0.95859375000000013</v>
      </c>
      <c r="I19">
        <v>1565</v>
      </c>
      <c r="J19">
        <v>82.7</v>
      </c>
      <c r="K19" s="3">
        <f t="shared" si="2"/>
        <v>1.0453674121405752</v>
      </c>
      <c r="L19" s="3">
        <f t="shared" si="3"/>
        <v>0.89020556227327696</v>
      </c>
    </row>
    <row r="20" spans="1:12">
      <c r="A20" s="21">
        <f>Data!A20</f>
        <v>13</v>
      </c>
      <c r="B20">
        <f>Data!Q20</f>
        <v>611</v>
      </c>
      <c r="C20" s="4">
        <f>Data!Q20*Data!N20/1000</f>
        <v>122.2</v>
      </c>
      <c r="D20" s="4"/>
      <c r="E20">
        <v>483</v>
      </c>
      <c r="F20">
        <v>99.9</v>
      </c>
      <c r="G20" s="3">
        <f t="shared" si="0"/>
        <v>1.2650103519668736</v>
      </c>
      <c r="H20" s="3">
        <f t="shared" si="1"/>
        <v>1.2232232232232232</v>
      </c>
      <c r="I20">
        <v>580</v>
      </c>
      <c r="J20">
        <v>121.5</v>
      </c>
      <c r="K20" s="3">
        <f t="shared" si="2"/>
        <v>1.0534482758620689</v>
      </c>
      <c r="L20" s="3">
        <f t="shared" si="3"/>
        <v>1.005761316872428</v>
      </c>
    </row>
    <row r="21" spans="1:12">
      <c r="A21" s="21">
        <f>Data!A21</f>
        <v>14</v>
      </c>
      <c r="B21">
        <f>Data!Q21</f>
        <v>2393</v>
      </c>
      <c r="C21" s="4">
        <f>Data!Q21*Data!N21/1000</f>
        <v>143.58000000000001</v>
      </c>
      <c r="D21" s="4"/>
      <c r="E21">
        <v>2408</v>
      </c>
      <c r="F21">
        <v>147.19999999999999</v>
      </c>
      <c r="G21" s="3">
        <f t="shared" si="0"/>
        <v>0.9937707641196013</v>
      </c>
      <c r="H21" s="3">
        <f t="shared" si="1"/>
        <v>0.97540760869565235</v>
      </c>
      <c r="I21">
        <v>2540</v>
      </c>
      <c r="J21">
        <v>153</v>
      </c>
      <c r="K21" s="3">
        <f t="shared" si="2"/>
        <v>0.94212598425196847</v>
      </c>
      <c r="L21" s="3">
        <f t="shared" si="3"/>
        <v>0.93843137254901965</v>
      </c>
    </row>
    <row r="22" spans="1:12">
      <c r="A22" s="21">
        <f>Data!A22</f>
        <v>15</v>
      </c>
      <c r="B22">
        <f>Data!Q22</f>
        <v>2685</v>
      </c>
      <c r="C22" s="4">
        <f>Data!Q22*Data!N22/1000</f>
        <v>161.1</v>
      </c>
      <c r="D22" s="4"/>
      <c r="E22">
        <v>2729</v>
      </c>
      <c r="F22">
        <v>167.8</v>
      </c>
      <c r="G22" s="3">
        <f t="shared" si="0"/>
        <v>0.98387687797728107</v>
      </c>
      <c r="H22" s="3">
        <f t="shared" si="1"/>
        <v>0.96007151370679367</v>
      </c>
      <c r="I22">
        <v>2880</v>
      </c>
      <c r="J22">
        <v>173</v>
      </c>
      <c r="K22" s="3">
        <f t="shared" si="2"/>
        <v>0.93229166666666663</v>
      </c>
      <c r="L22" s="3">
        <f t="shared" si="3"/>
        <v>0.93121387283236989</v>
      </c>
    </row>
    <row r="23" spans="1:12">
      <c r="A23" s="21">
        <f>Data!A23</f>
        <v>16</v>
      </c>
      <c r="B23">
        <f>Data!Q23</f>
        <v>2090</v>
      </c>
      <c r="C23" s="4">
        <f>Data!Q23*Data!N23/1000</f>
        <v>209</v>
      </c>
      <c r="D23" s="4"/>
      <c r="E23">
        <v>1994</v>
      </c>
      <c r="F23">
        <v>206.1</v>
      </c>
      <c r="G23" s="3">
        <f t="shared" si="0"/>
        <v>1.0481444332998997</v>
      </c>
      <c r="H23" s="3">
        <f t="shared" si="1"/>
        <v>1.0140708393983504</v>
      </c>
      <c r="I23">
        <v>2270</v>
      </c>
      <c r="J23">
        <v>226</v>
      </c>
      <c r="K23" s="3">
        <f t="shared" si="2"/>
        <v>0.92070484581497802</v>
      </c>
      <c r="L23" s="3">
        <f t="shared" si="3"/>
        <v>0.9247787610619469</v>
      </c>
    </row>
    <row r="24" spans="1:12">
      <c r="A24" s="21">
        <f>Data!A24</f>
        <v>17</v>
      </c>
      <c r="B24">
        <f>Data!Q24</f>
        <v>858</v>
      </c>
      <c r="C24" s="4">
        <f>Data!Q24*Data!N24/1000</f>
        <v>257.39999999999998</v>
      </c>
      <c r="D24" s="4"/>
      <c r="E24">
        <v>770</v>
      </c>
      <c r="F24">
        <v>232</v>
      </c>
      <c r="G24" s="3">
        <f t="shared" si="0"/>
        <v>1.1142857142857143</v>
      </c>
      <c r="H24" s="3">
        <f t="shared" si="1"/>
        <v>1.1094827586206895</v>
      </c>
      <c r="I24">
        <v>980</v>
      </c>
      <c r="J24">
        <v>276</v>
      </c>
      <c r="K24" s="3">
        <f t="shared" si="2"/>
        <v>0.8755102040816326</v>
      </c>
      <c r="L24" s="3">
        <f t="shared" si="3"/>
        <v>0.93260869565217386</v>
      </c>
    </row>
    <row r="25" spans="1:12">
      <c r="A25" s="21">
        <f>Data!A25</f>
        <v>18</v>
      </c>
      <c r="B25">
        <f>Data!Q25</f>
        <v>3396</v>
      </c>
      <c r="C25" s="4">
        <f>Data!Q25*Data!N25/1000</f>
        <v>203.76</v>
      </c>
      <c r="D25" s="4"/>
      <c r="E25">
        <v>3507</v>
      </c>
      <c r="F25">
        <v>213.2</v>
      </c>
      <c r="G25" s="3">
        <f t="shared" si="0"/>
        <v>0.96834901625320791</v>
      </c>
      <c r="H25" s="3">
        <f t="shared" si="1"/>
        <v>0.95572232645403377</v>
      </c>
      <c r="I25">
        <v>3650</v>
      </c>
      <c r="J25">
        <v>219</v>
      </c>
      <c r="K25" s="3">
        <f t="shared" si="2"/>
        <v>0.93041095890410963</v>
      </c>
      <c r="L25" s="3">
        <f t="shared" si="3"/>
        <v>0.93041095890410952</v>
      </c>
    </row>
    <row r="26" spans="1:12">
      <c r="A26" s="21">
        <f>Data!A26</f>
        <v>19</v>
      </c>
      <c r="B26">
        <f>Data!Q26</f>
        <v>1484</v>
      </c>
      <c r="C26" s="4">
        <f>Data!Q26*Data!N26/1000</f>
        <v>296.8</v>
      </c>
      <c r="D26" s="4"/>
      <c r="E26">
        <v>1285</v>
      </c>
      <c r="F26">
        <v>259.10000000000002</v>
      </c>
      <c r="G26" s="3">
        <f t="shared" si="0"/>
        <v>1.1548638132295719</v>
      </c>
      <c r="H26" s="3">
        <f t="shared" si="1"/>
        <v>1.1455036665380161</v>
      </c>
      <c r="I26">
        <v>1520</v>
      </c>
      <c r="J26">
        <v>310</v>
      </c>
      <c r="K26" s="3">
        <f t="shared" si="2"/>
        <v>0.97631578947368425</v>
      </c>
      <c r="L26" s="3">
        <f t="shared" si="3"/>
        <v>0.95741935483870977</v>
      </c>
    </row>
    <row r="27" spans="1:12">
      <c r="A27" s="21">
        <f>Data!A27</f>
        <v>20</v>
      </c>
      <c r="B27">
        <f>Data!Q27</f>
        <v>4100</v>
      </c>
      <c r="C27" s="4">
        <f>Data!Q27*Data!N27/1000</f>
        <v>410</v>
      </c>
      <c r="D27" s="4"/>
      <c r="E27">
        <v>4685</v>
      </c>
      <c r="F27">
        <v>466.5</v>
      </c>
      <c r="G27" s="3">
        <f t="shared" si="0"/>
        <v>0.87513340448239063</v>
      </c>
      <c r="H27" s="3">
        <f t="shared" si="1"/>
        <v>0.87888531618435151</v>
      </c>
      <c r="I27">
        <v>4900</v>
      </c>
      <c r="J27">
        <v>488</v>
      </c>
      <c r="K27" s="3">
        <f t="shared" si="2"/>
        <v>0.83673469387755106</v>
      </c>
      <c r="L27" s="3">
        <f t="shared" si="3"/>
        <v>0.8401639344262295</v>
      </c>
    </row>
    <row r="28" spans="1:12">
      <c r="A28" s="21">
        <f>Data!A28</f>
        <v>21</v>
      </c>
      <c r="B28">
        <f>Data!Q28</f>
        <v>1967</v>
      </c>
      <c r="C28" s="4">
        <f>Data!Q28*Data!N28/1000</f>
        <v>590.1</v>
      </c>
      <c r="D28" s="4"/>
      <c r="E28">
        <v>1917</v>
      </c>
      <c r="F28">
        <v>579.20000000000005</v>
      </c>
      <c r="G28" s="3">
        <f t="shared" si="0"/>
        <v>1.0260824204486176</v>
      </c>
      <c r="H28" s="3">
        <f t="shared" si="1"/>
        <v>1.0188190607734806</v>
      </c>
      <c r="I28">
        <v>2280</v>
      </c>
      <c r="J28">
        <v>688</v>
      </c>
      <c r="K28" s="3">
        <f t="shared" si="2"/>
        <v>0.862719298245614</v>
      </c>
      <c r="L28" s="3">
        <f t="shared" si="3"/>
        <v>0.85770348837209309</v>
      </c>
    </row>
    <row r="29" spans="1:12">
      <c r="A29" s="21"/>
      <c r="C29" s="4"/>
      <c r="F29" s="13" t="s">
        <v>98</v>
      </c>
      <c r="G29" s="14">
        <f>AVERAGE(G8:G28)</f>
        <v>1.0141778084089714</v>
      </c>
      <c r="H29" s="14">
        <f>AVERAGE(H8:H28)</f>
        <v>0.9998066594270324</v>
      </c>
      <c r="I29" s="10"/>
      <c r="J29" s="10"/>
      <c r="K29" s="14">
        <f>AVERAGE(K8:K28)</f>
        <v>0.9500684203898857</v>
      </c>
      <c r="L29" s="14">
        <f>AVERAGE(L8:L28)</f>
        <v>0.94382388358073854</v>
      </c>
    </row>
    <row r="30" spans="1:12">
      <c r="A30" s="21"/>
      <c r="C30" s="4"/>
      <c r="F30" s="15" t="s">
        <v>99</v>
      </c>
      <c r="G30" s="16">
        <f>STDEV(G8:G28)</f>
        <v>0.11396237014328363</v>
      </c>
      <c r="H30" s="16">
        <f>STDEV(H8:H28)</f>
        <v>0.10434508241497099</v>
      </c>
      <c r="I30" s="10"/>
      <c r="J30" s="10"/>
      <c r="K30" s="16">
        <f>STDEV(K8:K28)</f>
        <v>6.727374173308133E-2</v>
      </c>
      <c r="L30" s="16">
        <f>STDEV(L8:L28)</f>
        <v>5.4968692220971352E-2</v>
      </c>
    </row>
    <row r="31" spans="1:12">
      <c r="A31" s="20" t="str">
        <f>Data!A30</f>
        <v>Uy</v>
      </c>
      <c r="B31" t="s">
        <v>61</v>
      </c>
      <c r="C31" s="11">
        <v>1997</v>
      </c>
      <c r="E31" s="21" t="s">
        <v>63</v>
      </c>
      <c r="G31" s="3"/>
      <c r="H31" s="3"/>
      <c r="K31" s="3"/>
      <c r="L31" s="3"/>
    </row>
    <row r="32" spans="1:12">
      <c r="A32" s="21" t="str">
        <f>Data!A31</f>
        <v>NS1 [C]</v>
      </c>
      <c r="B32">
        <f>Data!Q31</f>
        <v>1555</v>
      </c>
      <c r="C32" s="4">
        <f>Data!Q31*Data!N31/1000</f>
        <v>0</v>
      </c>
      <c r="E32">
        <v>1696</v>
      </c>
      <c r="F32">
        <v>0</v>
      </c>
      <c r="G32" s="3">
        <f t="shared" si="0"/>
        <v>0.91686320754716977</v>
      </c>
      <c r="H32" s="3"/>
      <c r="I32">
        <v>1540</v>
      </c>
      <c r="J32">
        <v>0</v>
      </c>
      <c r="K32" s="3">
        <f t="shared" si="2"/>
        <v>1.0097402597402598</v>
      </c>
      <c r="L32" s="3"/>
    </row>
    <row r="33" spans="1:12">
      <c r="A33" s="21" t="str">
        <f>Data!A32</f>
        <v>NS2 [C]</v>
      </c>
      <c r="B33">
        <f>Data!Q32</f>
        <v>1069</v>
      </c>
      <c r="C33" s="4">
        <f>Data!Q32*Data!N32/1000</f>
        <v>39.552999999999997</v>
      </c>
      <c r="E33">
        <v>1147</v>
      </c>
      <c r="F33">
        <v>42.7</v>
      </c>
      <c r="G33" s="3">
        <f t="shared" si="0"/>
        <v>0.93199651264167394</v>
      </c>
      <c r="H33" s="3">
        <f t="shared" si="1"/>
        <v>0.92629976580796236</v>
      </c>
      <c r="I33">
        <v>1066</v>
      </c>
      <c r="J33">
        <v>39.5</v>
      </c>
      <c r="K33" s="3">
        <f t="shared" si="2"/>
        <v>1.0028142589118199</v>
      </c>
      <c r="L33" s="3">
        <f t="shared" si="3"/>
        <v>1.0013417721518987</v>
      </c>
    </row>
    <row r="34" spans="1:12">
      <c r="A34" s="21" t="str">
        <f>Data!A33</f>
        <v>NS3 [C]</v>
      </c>
      <c r="B34">
        <f>Data!Q33</f>
        <v>1133</v>
      </c>
      <c r="C34" s="4">
        <f>Data!Q33*Data!N33/1000</f>
        <v>63.448</v>
      </c>
      <c r="E34">
        <v>941</v>
      </c>
      <c r="F34">
        <v>53.1</v>
      </c>
      <c r="G34" s="3">
        <f t="shared" si="0"/>
        <v>1.20403825717322</v>
      </c>
      <c r="H34" s="3">
        <f t="shared" si="1"/>
        <v>1.1948775894538606</v>
      </c>
      <c r="I34">
        <v>915</v>
      </c>
      <c r="J34">
        <v>51.4</v>
      </c>
      <c r="K34" s="3">
        <f t="shared" si="2"/>
        <v>1.2382513661202186</v>
      </c>
      <c r="L34" s="3">
        <f t="shared" si="3"/>
        <v>1.2343968871595332</v>
      </c>
    </row>
    <row r="35" spans="1:12">
      <c r="A35" s="21" t="str">
        <f>Data!A34</f>
        <v>NS4 [C]</v>
      </c>
      <c r="B35">
        <f>Data!Q34</f>
        <v>895</v>
      </c>
      <c r="C35" s="4">
        <f>Data!Q34*Data!N34/1000</f>
        <v>75.180000000000007</v>
      </c>
      <c r="E35">
        <v>711</v>
      </c>
      <c r="F35">
        <v>59.9</v>
      </c>
      <c r="G35" s="3">
        <f t="shared" si="0"/>
        <v>1.2587904360056259</v>
      </c>
      <c r="H35" s="3">
        <f t="shared" si="1"/>
        <v>1.2550918196994993</v>
      </c>
      <c r="I35">
        <v>715</v>
      </c>
      <c r="J35">
        <v>60.4</v>
      </c>
      <c r="K35" s="3">
        <f t="shared" si="2"/>
        <v>1.2517482517482517</v>
      </c>
      <c r="L35" s="3">
        <f t="shared" si="3"/>
        <v>1.2447019867549671</v>
      </c>
    </row>
    <row r="36" spans="1:12">
      <c r="A36" s="21" t="str">
        <f>Data!A35</f>
        <v>NS5 [LB]</v>
      </c>
      <c r="B36">
        <f>Data!Q35</f>
        <v>517</v>
      </c>
      <c r="C36" s="4">
        <f>Data!Q35*Data!N35/1000</f>
        <v>0</v>
      </c>
      <c r="E36">
        <v>659</v>
      </c>
      <c r="F36">
        <v>0</v>
      </c>
      <c r="G36" s="3">
        <f t="shared" si="0"/>
        <v>0.78452200303490138</v>
      </c>
      <c r="H36" s="3" t="s">
        <v>59</v>
      </c>
      <c r="I36">
        <v>659</v>
      </c>
      <c r="J36">
        <v>0</v>
      </c>
      <c r="K36" s="3">
        <f t="shared" si="2"/>
        <v>0.78452200303490138</v>
      </c>
      <c r="L36" s="3" t="s">
        <v>59</v>
      </c>
    </row>
    <row r="37" spans="1:12">
      <c r="A37" s="21" t="str">
        <f>Data!A36</f>
        <v>NS6 [B]</v>
      </c>
      <c r="B37" t="str">
        <f>Data!Q36</f>
        <v>**</v>
      </c>
      <c r="C37" s="4">
        <v>62.6</v>
      </c>
      <c r="E37">
        <v>0</v>
      </c>
      <c r="F37">
        <v>48.7</v>
      </c>
      <c r="G37" s="3" t="s">
        <v>71</v>
      </c>
      <c r="H37" s="3">
        <f t="shared" si="1"/>
        <v>1.2854209445585214</v>
      </c>
      <c r="I37">
        <v>0</v>
      </c>
      <c r="J37">
        <v>53</v>
      </c>
      <c r="K37" s="3" t="s">
        <v>71</v>
      </c>
      <c r="L37" s="3">
        <f t="shared" si="3"/>
        <v>1.1811320754716981</v>
      </c>
    </row>
    <row r="38" spans="1:12">
      <c r="A38" s="21" t="str">
        <f>Data!A37</f>
        <v>HS1 [C]</v>
      </c>
      <c r="B38">
        <f>Data!Q37</f>
        <v>1114</v>
      </c>
      <c r="C38" s="4">
        <f>Data!Q37*Data!N37/1000</f>
        <v>0</v>
      </c>
      <c r="E38">
        <v>1163</v>
      </c>
      <c r="F38">
        <v>0</v>
      </c>
      <c r="G38" s="3">
        <f t="shared" si="0"/>
        <v>0.95786758383490966</v>
      </c>
      <c r="H38" s="3"/>
      <c r="I38">
        <v>1054</v>
      </c>
      <c r="J38">
        <v>0</v>
      </c>
      <c r="K38" s="3">
        <f t="shared" si="2"/>
        <v>1.0569259962049335</v>
      </c>
      <c r="L38" s="3" t="s">
        <v>59</v>
      </c>
    </row>
    <row r="39" spans="1:12">
      <c r="A39" s="21" t="str">
        <f>Data!A38</f>
        <v>HS2 [C]</v>
      </c>
      <c r="B39">
        <f>Data!Q38</f>
        <v>996</v>
      </c>
      <c r="C39" s="4">
        <f>Data!Q38*Data!N38/1000</f>
        <v>19.920000000000002</v>
      </c>
      <c r="E39">
        <v>847</v>
      </c>
      <c r="F39">
        <v>17</v>
      </c>
      <c r="G39" s="3">
        <f t="shared" si="0"/>
        <v>1.1759149940968123</v>
      </c>
      <c r="H39" s="3">
        <f t="shared" si="1"/>
        <v>1.171764705882353</v>
      </c>
      <c r="I39">
        <v>772</v>
      </c>
      <c r="J39">
        <v>15.6</v>
      </c>
      <c r="K39" s="3">
        <f t="shared" si="2"/>
        <v>1.2901554404145077</v>
      </c>
      <c r="L39" s="3">
        <f t="shared" si="3"/>
        <v>1.276923076923077</v>
      </c>
    </row>
    <row r="40" spans="1:12">
      <c r="A40" s="21" t="str">
        <f>Data!A39</f>
        <v>HS3 [C]</v>
      </c>
      <c r="B40">
        <f>Data!Q39</f>
        <v>739</v>
      </c>
      <c r="C40" s="4">
        <f>Data!Q39*Data!N39/1000</f>
        <v>29.56</v>
      </c>
      <c r="E40">
        <v>620</v>
      </c>
      <c r="F40">
        <v>24.9</v>
      </c>
      <c r="G40" s="3">
        <f t="shared" si="0"/>
        <v>1.1919354838709677</v>
      </c>
      <c r="H40" s="3">
        <f t="shared" si="1"/>
        <v>1.18714859437751</v>
      </c>
      <c r="I40">
        <v>600</v>
      </c>
      <c r="J40">
        <v>24</v>
      </c>
      <c r="K40" s="3">
        <f t="shared" si="2"/>
        <v>1.2316666666666667</v>
      </c>
      <c r="L40" s="3">
        <f t="shared" si="3"/>
        <v>1.2316666666666667</v>
      </c>
    </row>
    <row r="41" spans="1:12">
      <c r="A41" s="21" t="str">
        <f>Data!A40</f>
        <v>HS4 [C]</v>
      </c>
      <c r="B41">
        <f>Data!Q40</f>
        <v>619</v>
      </c>
      <c r="C41" s="4">
        <f>Data!Q40*Data!N40/1000</f>
        <v>30.95</v>
      </c>
      <c r="E41">
        <v>533</v>
      </c>
      <c r="F41">
        <v>26.7</v>
      </c>
      <c r="G41" s="3">
        <f t="shared" si="0"/>
        <v>1.1613508442776737</v>
      </c>
      <c r="H41" s="3">
        <f t="shared" si="1"/>
        <v>1.1591760299625469</v>
      </c>
      <c r="I41">
        <v>528</v>
      </c>
      <c r="J41">
        <v>26.3</v>
      </c>
      <c r="K41" s="3">
        <f t="shared" si="2"/>
        <v>1.1723484848484849</v>
      </c>
      <c r="L41" s="3">
        <f t="shared" si="3"/>
        <v>1.1768060836501901</v>
      </c>
    </row>
    <row r="42" spans="1:12">
      <c r="A42" s="21" t="str">
        <f>Data!A41</f>
        <v>HS5 [LB]</v>
      </c>
      <c r="B42">
        <f>Data!Q41</f>
        <v>454</v>
      </c>
      <c r="C42" s="4">
        <f>Data!Q41*Data!N41/1000</f>
        <v>0</v>
      </c>
      <c r="E42">
        <v>443</v>
      </c>
      <c r="F42">
        <v>0</v>
      </c>
      <c r="G42" s="3">
        <f t="shared" si="0"/>
        <v>1.0248306997742664</v>
      </c>
      <c r="H42" s="3" t="s">
        <v>59</v>
      </c>
      <c r="I42">
        <v>443</v>
      </c>
      <c r="J42">
        <v>0</v>
      </c>
      <c r="K42" s="3">
        <f t="shared" si="2"/>
        <v>1.0248306997742664</v>
      </c>
      <c r="L42" s="3" t="s">
        <v>59</v>
      </c>
    </row>
    <row r="43" spans="1:12">
      <c r="A43" s="21" t="str">
        <f>Data!A42</f>
        <v>HS6 [B]</v>
      </c>
      <c r="B43" t="str">
        <f>Data!Q42</f>
        <v>**</v>
      </c>
      <c r="C43" s="4">
        <v>27.9</v>
      </c>
      <c r="E43">
        <v>0</v>
      </c>
      <c r="F43">
        <v>27.1</v>
      </c>
      <c r="G43" s="3" t="s">
        <v>71</v>
      </c>
      <c r="H43" s="3">
        <f t="shared" si="1"/>
        <v>1.0295202952029519</v>
      </c>
      <c r="I43">
        <v>0</v>
      </c>
      <c r="J43">
        <v>24</v>
      </c>
      <c r="K43" s="3" t="s">
        <v>71</v>
      </c>
      <c r="L43" s="3">
        <f t="shared" si="3"/>
        <v>1.1624999999999999</v>
      </c>
    </row>
    <row r="44" spans="1:12">
      <c r="A44" s="21"/>
      <c r="C44" s="4"/>
      <c r="E44" t="s">
        <v>79</v>
      </c>
    </row>
    <row r="45" spans="1:12">
      <c r="A45" s="21"/>
      <c r="C45" s="4"/>
      <c r="F45" s="13" t="s">
        <v>100</v>
      </c>
      <c r="G45" s="14">
        <f>AVERAGE(G32:G35,G38:G41)</f>
        <v>1.0998446649310067</v>
      </c>
      <c r="H45" s="14">
        <f>AVERAGE(H33:H35,H37,H39:H41,H43)</f>
        <v>1.1511624681181507</v>
      </c>
      <c r="K45" s="14">
        <f>AVERAGE(K32:K35,K38:K41)</f>
        <v>1.1567063405818927</v>
      </c>
      <c r="L45" s="14">
        <f>AVERAGE(L33:L35,L37,L39:L41,L43)</f>
        <v>1.1886835685972537</v>
      </c>
    </row>
    <row r="46" spans="1:12">
      <c r="A46" s="21"/>
      <c r="C46" s="4"/>
      <c r="F46" t="s">
        <v>101</v>
      </c>
      <c r="G46" s="5">
        <f>STDEV(G32:G35,G38:G41)</f>
        <v>0.13937779816379509</v>
      </c>
      <c r="H46" s="5">
        <f>STDEV(H32:H35,H38:H41)</f>
        <v>0.11404621780850996</v>
      </c>
      <c r="K46" s="5">
        <f>STDEV(K32:K35,K38:K41)</f>
        <v>0.11624657556923089</v>
      </c>
      <c r="L46" s="5">
        <f>STDEV(L32:L35,L38:L41)</f>
        <v>9.9909835180089876E-2</v>
      </c>
    </row>
    <row r="47" spans="1:12">
      <c r="A47" s="21"/>
      <c r="C47" s="4"/>
    </row>
    <row r="48" spans="1:12">
      <c r="A48" s="21"/>
      <c r="C48" s="4"/>
      <c r="E48" s="10" t="s">
        <v>102</v>
      </c>
      <c r="F48" s="10" t="s">
        <v>103</v>
      </c>
      <c r="G48" s="14">
        <f>AVERAGE(G8:G28,G32:G35,G38:G41)</f>
        <v>1.0378100446909122</v>
      </c>
      <c r="H48" s="14">
        <f>AVERAGE(H8:H28,H32:H35,H38:H41)</f>
        <v>1.0329740130796818</v>
      </c>
      <c r="I48" s="10"/>
      <c r="J48" s="10"/>
      <c r="K48" s="14">
        <f>AVERAGE(K8:K28,K32:K35,K38:K41)</f>
        <v>1.0070719845807843</v>
      </c>
      <c r="L48" s="14">
        <f>AVERAGE(L8:L28,L32:L35,L38:L41)</f>
        <v>0.99948659364821646</v>
      </c>
    </row>
    <row r="49" spans="3:12">
      <c r="F49" t="s">
        <v>99</v>
      </c>
      <c r="G49" s="5">
        <v>0.121</v>
      </c>
      <c r="H49" s="5">
        <f>STDEV(H8:H28,H32:H35,H38:H41)</f>
        <v>0.12196272363719969</v>
      </c>
      <c r="K49" s="5">
        <f>STDEV(K8:K28,K32:K35,K38:K41)</f>
        <v>0.12427921441012188</v>
      </c>
      <c r="L49" s="5">
        <f>STDEV(L8:L28,L32:L35,L38:L41)</f>
        <v>0.12451967598884482</v>
      </c>
    </row>
    <row r="50" spans="3:12">
      <c r="F50" s="21" t="s">
        <v>104</v>
      </c>
      <c r="G50" s="6">
        <f>COUNT(G8:G28,G32:G35,G38:G41)</f>
        <v>29</v>
      </c>
    </row>
    <row r="51" spans="3:12">
      <c r="F51" s="21" t="s">
        <v>105</v>
      </c>
      <c r="G51" s="6">
        <f>COUNTIF(G8:G28,"&lt;1")+COUNTIF(G32:G35, "&lt;1")+COUNTIF(G38:G41,"&lt;1")</f>
        <v>14</v>
      </c>
    </row>
    <row r="52" spans="3:12">
      <c r="F52" s="21" t="s">
        <v>106</v>
      </c>
      <c r="G52" s="18">
        <f>G51/G50</f>
        <v>0.48275862068965519</v>
      </c>
    </row>
    <row r="54" spans="3:12">
      <c r="C54" t="s">
        <v>107</v>
      </c>
      <c r="E54" t="s">
        <v>108</v>
      </c>
      <c r="F54" s="21">
        <f ca="1">COUNTIF(Data!G8:'Data'!G42,"&gt;75")</f>
        <v>4</v>
      </c>
      <c r="G54" s="3">
        <f t="array" aca="1" ref="G54" ca="1">AVERAGE(IF(Data!G8:'Data'!G42 &gt;75, G8:G42))</f>
        <v>0.98147888304637065</v>
      </c>
      <c r="K54" s="3">
        <f t="array" aca="1" ref="K54" ca="1">AVERAGE(IF(Data!G8:'Data'!G42 &gt;75, K8:K42))</f>
        <v>0.9297392107111826</v>
      </c>
    </row>
  </sheetData>
  <mergeCells count="6">
    <mergeCell ref="A1:F1"/>
    <mergeCell ref="A2:F2"/>
    <mergeCell ref="E3:J3"/>
    <mergeCell ref="I4:J4"/>
    <mergeCell ref="E4:F4"/>
    <mergeCell ref="B4:C4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GOODE</dc:creator>
  <cp:keywords/>
  <dc:description/>
  <cp:lastModifiedBy>X</cp:lastModifiedBy>
  <cp:revision/>
  <dcterms:created xsi:type="dcterms:W3CDTF">2000-06-03T08:39:02Z</dcterms:created>
  <dcterms:modified xsi:type="dcterms:W3CDTF">2018-11-12T15:45:53Z</dcterms:modified>
  <cp:category/>
  <cp:contentStatus/>
</cp:coreProperties>
</file>