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B76\"/>
    </mc:Choice>
  </mc:AlternateContent>
  <xr:revisionPtr revIDLastSave="0" documentId="8_{70D31B58-D62B-432F-ACE1-217711F15BED}" xr6:coauthVersionLast="40" xr6:coauthVersionMax="40" xr10:uidLastSave="{00000000-0000-0000-0000-000000000000}"/>
  <bookViews>
    <workbookView xWindow="32760" yWindow="32760" windowWidth="11340" windowHeight="6180" firstSheet="1" activeTab="1" xr2:uid="{00000000-000D-0000-FFFF-FFFF00000000}"/>
  </bookViews>
  <sheets>
    <sheet name="Data" sheetId="1" r:id="rId1"/>
    <sheet name="Summary" sheetId="2" r:id="rId2"/>
    <sheet name="Graph EC4" sheetId="4" r:id="rId3"/>
    <sheet name="Ratio v M" sheetId="5" r:id="rId4"/>
    <sheet name="v fcyl" sheetId="6" r:id="rId5"/>
    <sheet name="k v 2nd" sheetId="7" r:id="rId6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I8" i="1"/>
  <c r="K8" i="1"/>
  <c r="AC8" i="1"/>
  <c r="AD8" i="1"/>
  <c r="AE8" i="1"/>
  <c r="AF8" i="1"/>
  <c r="R8" i="1"/>
  <c r="AG8" i="1"/>
  <c r="AH8" i="1"/>
  <c r="L8" i="1"/>
  <c r="M8" i="1"/>
  <c r="N8" i="1"/>
  <c r="Q8" i="1"/>
  <c r="S8" i="1"/>
  <c r="AI8" i="1"/>
  <c r="AJ8" i="1"/>
  <c r="T8" i="1"/>
  <c r="V8" i="1"/>
  <c r="X8" i="1"/>
  <c r="AA8" i="1"/>
  <c r="H9" i="1"/>
  <c r="I9" i="1"/>
  <c r="K9" i="1"/>
  <c r="AC9" i="1"/>
  <c r="AD9" i="1"/>
  <c r="AE9" i="1"/>
  <c r="AF9" i="1"/>
  <c r="R9" i="1"/>
  <c r="AG9" i="1"/>
  <c r="AH9" i="1"/>
  <c r="L9" i="1"/>
  <c r="M9" i="1"/>
  <c r="N9" i="1"/>
  <c r="Q9" i="1"/>
  <c r="S9" i="1"/>
  <c r="AI9" i="1"/>
  <c r="AJ9" i="1"/>
  <c r="T9" i="1"/>
  <c r="V9" i="1"/>
  <c r="X9" i="1"/>
  <c r="AA9" i="1"/>
  <c r="H10" i="1"/>
  <c r="I10" i="1"/>
  <c r="K10" i="1"/>
  <c r="AC10" i="1"/>
  <c r="AD10" i="1"/>
  <c r="AE10" i="1"/>
  <c r="AF10" i="1"/>
  <c r="R10" i="1"/>
  <c r="AG10" i="1"/>
  <c r="AH10" i="1"/>
  <c r="L10" i="1"/>
  <c r="M10" i="1"/>
  <c r="N10" i="1"/>
  <c r="Q10" i="1"/>
  <c r="S10" i="1"/>
  <c r="AI10" i="1"/>
  <c r="AJ10" i="1"/>
  <c r="T10" i="1"/>
  <c r="V10" i="1"/>
  <c r="X10" i="1"/>
  <c r="AA10" i="1"/>
  <c r="H11" i="1"/>
  <c r="I11" i="1"/>
  <c r="K11" i="1"/>
  <c r="AC11" i="1"/>
  <c r="AD11" i="1"/>
  <c r="AE11" i="1"/>
  <c r="AF11" i="1"/>
  <c r="R11" i="1"/>
  <c r="AG11" i="1"/>
  <c r="AH11" i="1"/>
  <c r="L11" i="1"/>
  <c r="M11" i="1"/>
  <c r="N11" i="1"/>
  <c r="Q11" i="1"/>
  <c r="S11" i="1"/>
  <c r="AI11" i="1"/>
  <c r="AJ11" i="1"/>
  <c r="T11" i="1"/>
  <c r="V11" i="1"/>
  <c r="X11" i="1"/>
  <c r="AA11" i="1"/>
  <c r="H12" i="1"/>
  <c r="I12" i="1"/>
  <c r="K12" i="1"/>
  <c r="AC12" i="1"/>
  <c r="AD12" i="1"/>
  <c r="AE12" i="1"/>
  <c r="AF12" i="1"/>
  <c r="R12" i="1"/>
  <c r="AG12" i="1"/>
  <c r="AH12" i="1"/>
  <c r="L12" i="1"/>
  <c r="M12" i="1"/>
  <c r="N12" i="1"/>
  <c r="Q12" i="1"/>
  <c r="S12" i="1"/>
  <c r="AI12" i="1"/>
  <c r="AJ12" i="1"/>
  <c r="T12" i="1"/>
  <c r="V12" i="1"/>
  <c r="X12" i="1"/>
  <c r="AA12" i="1"/>
  <c r="H13" i="1"/>
  <c r="I13" i="1"/>
  <c r="K13" i="1"/>
  <c r="AC13" i="1"/>
  <c r="AD13" i="1"/>
  <c r="AE13" i="1"/>
  <c r="AF13" i="1"/>
  <c r="R13" i="1"/>
  <c r="AG13" i="1"/>
  <c r="AH13" i="1"/>
  <c r="L13" i="1"/>
  <c r="M13" i="1"/>
  <c r="N13" i="1"/>
  <c r="Q13" i="1"/>
  <c r="S13" i="1"/>
  <c r="AI13" i="1"/>
  <c r="AJ13" i="1"/>
  <c r="T13" i="1"/>
  <c r="V13" i="1"/>
  <c r="X13" i="1"/>
  <c r="AA13" i="1"/>
  <c r="H14" i="1"/>
  <c r="I14" i="1"/>
  <c r="K14" i="1"/>
  <c r="AC14" i="1"/>
  <c r="AD14" i="1"/>
  <c r="AE14" i="1"/>
  <c r="AF14" i="1"/>
  <c r="R14" i="1"/>
  <c r="AG14" i="1"/>
  <c r="AH14" i="1"/>
  <c r="L14" i="1"/>
  <c r="M14" i="1"/>
  <c r="N14" i="1"/>
  <c r="Q14" i="1"/>
  <c r="S14" i="1"/>
  <c r="AI14" i="1"/>
  <c r="AJ14" i="1"/>
  <c r="T14" i="1"/>
  <c r="V14" i="1"/>
  <c r="X14" i="1"/>
  <c r="AA14" i="1"/>
  <c r="H15" i="1"/>
  <c r="I15" i="1"/>
  <c r="K15" i="1"/>
  <c r="AC15" i="1"/>
  <c r="AD15" i="1"/>
  <c r="AE15" i="1"/>
  <c r="AF15" i="1"/>
  <c r="R15" i="1"/>
  <c r="AG15" i="1"/>
  <c r="AH15" i="1"/>
  <c r="L15" i="1"/>
  <c r="M15" i="1"/>
  <c r="N15" i="1"/>
  <c r="Q15" i="1"/>
  <c r="S15" i="1"/>
  <c r="AI15" i="1"/>
  <c r="AJ15" i="1"/>
  <c r="T15" i="1"/>
  <c r="V15" i="1"/>
  <c r="X15" i="1"/>
  <c r="AA15" i="1"/>
  <c r="H16" i="1"/>
  <c r="I16" i="1"/>
  <c r="K16" i="1"/>
  <c r="AC16" i="1"/>
  <c r="AD16" i="1"/>
  <c r="AE16" i="1"/>
  <c r="AF16" i="1"/>
  <c r="R16" i="1"/>
  <c r="AG16" i="1"/>
  <c r="AH16" i="1"/>
  <c r="L16" i="1"/>
  <c r="M16" i="1"/>
  <c r="N16" i="1"/>
  <c r="Q16" i="1"/>
  <c r="S16" i="1"/>
  <c r="AI16" i="1"/>
  <c r="AJ16" i="1"/>
  <c r="T16" i="1"/>
  <c r="V16" i="1"/>
  <c r="X16" i="1"/>
  <c r="AA16" i="1"/>
  <c r="H17" i="1"/>
  <c r="I17" i="1"/>
  <c r="K17" i="1"/>
  <c r="AC17" i="1"/>
  <c r="AD17" i="1"/>
  <c r="AE17" i="1"/>
  <c r="AF17" i="1"/>
  <c r="R17" i="1"/>
  <c r="AG17" i="1"/>
  <c r="AH17" i="1"/>
  <c r="L17" i="1"/>
  <c r="M17" i="1"/>
  <c r="N17" i="1"/>
  <c r="Q17" i="1"/>
  <c r="S17" i="1"/>
  <c r="AI17" i="1"/>
  <c r="AJ17" i="1"/>
  <c r="T17" i="1"/>
  <c r="V17" i="1"/>
  <c r="X17" i="1"/>
  <c r="AA17" i="1"/>
  <c r="H18" i="1"/>
  <c r="I18" i="1"/>
  <c r="K18" i="1"/>
  <c r="AC18" i="1"/>
  <c r="AD18" i="1"/>
  <c r="AE18" i="1"/>
  <c r="AF18" i="1"/>
  <c r="R18" i="1"/>
  <c r="AG18" i="1"/>
  <c r="AH18" i="1"/>
  <c r="L18" i="1"/>
  <c r="M18" i="1"/>
  <c r="N18" i="1"/>
  <c r="Q18" i="1"/>
  <c r="S18" i="1"/>
  <c r="AI18" i="1"/>
  <c r="AJ18" i="1"/>
  <c r="T18" i="1"/>
  <c r="V18" i="1"/>
  <c r="X18" i="1"/>
  <c r="AA18" i="1"/>
  <c r="H19" i="1"/>
  <c r="I19" i="1"/>
  <c r="K19" i="1"/>
  <c r="AC19" i="1"/>
  <c r="AD19" i="1"/>
  <c r="AE19" i="1"/>
  <c r="AF19" i="1"/>
  <c r="R19" i="1"/>
  <c r="AG19" i="1"/>
  <c r="AH19" i="1"/>
  <c r="L19" i="1"/>
  <c r="M19" i="1"/>
  <c r="N19" i="1"/>
  <c r="Q19" i="1"/>
  <c r="S19" i="1"/>
  <c r="AI19" i="1"/>
  <c r="AJ19" i="1"/>
  <c r="T19" i="1"/>
  <c r="V19" i="1"/>
  <c r="X19" i="1"/>
  <c r="AA19" i="1"/>
  <c r="H20" i="1"/>
  <c r="I20" i="1"/>
  <c r="K20" i="1"/>
  <c r="AC20" i="1"/>
  <c r="AD20" i="1"/>
  <c r="AE20" i="1"/>
  <c r="AF20" i="1"/>
  <c r="R20" i="1"/>
  <c r="AG20" i="1"/>
  <c r="AH20" i="1"/>
  <c r="L20" i="1"/>
  <c r="M20" i="1"/>
  <c r="N20" i="1"/>
  <c r="Q20" i="1"/>
  <c r="S20" i="1"/>
  <c r="AI20" i="1"/>
  <c r="AJ20" i="1"/>
  <c r="T20" i="1"/>
  <c r="V20" i="1"/>
  <c r="X20" i="1"/>
  <c r="AA20" i="1"/>
  <c r="H21" i="1"/>
  <c r="I21" i="1"/>
  <c r="K21" i="1"/>
  <c r="AC21" i="1"/>
  <c r="AD21" i="1"/>
  <c r="AE21" i="1"/>
  <c r="AF21" i="1"/>
  <c r="R21" i="1"/>
  <c r="AG21" i="1"/>
  <c r="AH21" i="1"/>
  <c r="L21" i="1"/>
  <c r="M21" i="1"/>
  <c r="N21" i="1"/>
  <c r="Q21" i="1"/>
  <c r="S21" i="1"/>
  <c r="AI21" i="1"/>
  <c r="AJ21" i="1"/>
  <c r="T21" i="1"/>
  <c r="V21" i="1"/>
  <c r="X21" i="1"/>
  <c r="AA21" i="1"/>
  <c r="H22" i="1"/>
  <c r="I22" i="1"/>
  <c r="K22" i="1"/>
  <c r="AC22" i="1"/>
  <c r="AD22" i="1"/>
  <c r="AE22" i="1"/>
  <c r="AF22" i="1"/>
  <c r="R22" i="1"/>
  <c r="AG22" i="1"/>
  <c r="AH22" i="1"/>
  <c r="L22" i="1"/>
  <c r="M22" i="1"/>
  <c r="N22" i="1"/>
  <c r="Q22" i="1"/>
  <c r="S22" i="1"/>
  <c r="AI22" i="1"/>
  <c r="AJ22" i="1"/>
  <c r="T22" i="1"/>
  <c r="V22" i="1"/>
  <c r="X22" i="1"/>
  <c r="AA22" i="1"/>
  <c r="H25" i="1"/>
  <c r="I25" i="1"/>
  <c r="K25" i="1"/>
  <c r="AC25" i="1"/>
  <c r="AD25" i="1"/>
  <c r="AE25" i="1"/>
  <c r="AF25" i="1"/>
  <c r="R25" i="1"/>
  <c r="AG25" i="1"/>
  <c r="AH25" i="1"/>
  <c r="L25" i="1"/>
  <c r="M25" i="1"/>
  <c r="N25" i="1"/>
  <c r="Q25" i="1"/>
  <c r="S25" i="1"/>
  <c r="AI25" i="1"/>
  <c r="AJ25" i="1"/>
  <c r="T25" i="1"/>
  <c r="V25" i="1"/>
  <c r="X25" i="1"/>
  <c r="AA25" i="1"/>
  <c r="H26" i="1"/>
  <c r="I26" i="1"/>
  <c r="K26" i="1"/>
  <c r="AC26" i="1"/>
  <c r="AD26" i="1"/>
  <c r="AE26" i="1"/>
  <c r="AF26" i="1"/>
  <c r="R26" i="1"/>
  <c r="AG26" i="1"/>
  <c r="AH26" i="1"/>
  <c r="L26" i="1"/>
  <c r="M26" i="1"/>
  <c r="N26" i="1"/>
  <c r="Q26" i="1"/>
  <c r="S26" i="1"/>
  <c r="AI26" i="1"/>
  <c r="AJ26" i="1"/>
  <c r="T26" i="1"/>
  <c r="V26" i="1"/>
  <c r="X26" i="1"/>
  <c r="AA26" i="1"/>
  <c r="H27" i="1"/>
  <c r="I27" i="1"/>
  <c r="K27" i="1"/>
  <c r="AC27" i="1"/>
  <c r="AD27" i="1"/>
  <c r="AE27" i="1"/>
  <c r="AF27" i="1"/>
  <c r="R27" i="1"/>
  <c r="AG27" i="1"/>
  <c r="AH27" i="1"/>
  <c r="L27" i="1"/>
  <c r="M27" i="1"/>
  <c r="N27" i="1"/>
  <c r="Q27" i="1"/>
  <c r="S27" i="1"/>
  <c r="AI27" i="1"/>
  <c r="AJ27" i="1"/>
  <c r="T27" i="1"/>
  <c r="V27" i="1"/>
  <c r="X27" i="1"/>
  <c r="AA27" i="1"/>
  <c r="H28" i="1"/>
  <c r="I28" i="1"/>
  <c r="K28" i="1"/>
  <c r="AC28" i="1"/>
  <c r="AD28" i="1"/>
  <c r="AE28" i="1"/>
  <c r="AF28" i="1"/>
  <c r="R28" i="1"/>
  <c r="AG28" i="1"/>
  <c r="AH28" i="1"/>
  <c r="L28" i="1"/>
  <c r="M28" i="1"/>
  <c r="N28" i="1"/>
  <c r="Q28" i="1"/>
  <c r="S28" i="1"/>
  <c r="AI28" i="1"/>
  <c r="AJ28" i="1"/>
  <c r="T28" i="1"/>
  <c r="V28" i="1"/>
  <c r="X28" i="1"/>
  <c r="AA28" i="1"/>
  <c r="H29" i="1"/>
  <c r="I29" i="1"/>
  <c r="K29" i="1"/>
  <c r="AC29" i="1"/>
  <c r="AD29" i="1"/>
  <c r="AE29" i="1"/>
  <c r="AF29" i="1"/>
  <c r="R29" i="1"/>
  <c r="AG29" i="1"/>
  <c r="AH29" i="1"/>
  <c r="L29" i="1"/>
  <c r="M29" i="1"/>
  <c r="N29" i="1"/>
  <c r="Q29" i="1"/>
  <c r="S29" i="1"/>
  <c r="AI29" i="1"/>
  <c r="AJ29" i="1"/>
  <c r="T29" i="1"/>
  <c r="V29" i="1"/>
  <c r="X29" i="1"/>
  <c r="AA29" i="1"/>
  <c r="H30" i="1"/>
  <c r="I30" i="1"/>
  <c r="K30" i="1"/>
  <c r="AC30" i="1"/>
  <c r="AD30" i="1"/>
  <c r="AE30" i="1"/>
  <c r="AF30" i="1"/>
  <c r="R30" i="1"/>
  <c r="AG30" i="1"/>
  <c r="AH30" i="1"/>
  <c r="L30" i="1"/>
  <c r="M30" i="1"/>
  <c r="N30" i="1"/>
  <c r="Q30" i="1"/>
  <c r="S30" i="1"/>
  <c r="AI30" i="1"/>
  <c r="AJ30" i="1"/>
  <c r="T30" i="1"/>
  <c r="V30" i="1"/>
  <c r="X30" i="1"/>
  <c r="AA30" i="1"/>
  <c r="H31" i="1"/>
  <c r="I31" i="1"/>
  <c r="K31" i="1"/>
  <c r="AC31" i="1"/>
  <c r="AD31" i="1"/>
  <c r="AE31" i="1"/>
  <c r="AF31" i="1"/>
  <c r="R31" i="1"/>
  <c r="AG31" i="1"/>
  <c r="AH31" i="1"/>
  <c r="L31" i="1"/>
  <c r="M31" i="1"/>
  <c r="N31" i="1"/>
  <c r="Q31" i="1"/>
  <c r="S31" i="1"/>
  <c r="AI31" i="1"/>
  <c r="AJ31" i="1"/>
  <c r="T31" i="1"/>
  <c r="V31" i="1"/>
  <c r="X31" i="1"/>
  <c r="AA31" i="1"/>
  <c r="H32" i="1"/>
  <c r="I32" i="1"/>
  <c r="K32" i="1"/>
  <c r="AC32" i="1"/>
  <c r="AD32" i="1"/>
  <c r="AE32" i="1"/>
  <c r="AF32" i="1"/>
  <c r="R32" i="1"/>
  <c r="AG32" i="1"/>
  <c r="AH32" i="1"/>
  <c r="L32" i="1"/>
  <c r="M32" i="1"/>
  <c r="N32" i="1"/>
  <c r="Q32" i="1"/>
  <c r="S32" i="1"/>
  <c r="AI32" i="1"/>
  <c r="AJ32" i="1"/>
  <c r="T32" i="1"/>
  <c r="V32" i="1"/>
  <c r="X32" i="1"/>
  <c r="AA32" i="1"/>
  <c r="H33" i="1"/>
  <c r="I33" i="1"/>
  <c r="K33" i="1"/>
  <c r="AC33" i="1"/>
  <c r="AD33" i="1"/>
  <c r="AE33" i="1"/>
  <c r="AF33" i="1"/>
  <c r="R33" i="1"/>
  <c r="AG33" i="1"/>
  <c r="AH33" i="1"/>
  <c r="L33" i="1"/>
  <c r="M33" i="1"/>
  <c r="N33" i="1"/>
  <c r="Q33" i="1"/>
  <c r="S33" i="1"/>
  <c r="AI33" i="1"/>
  <c r="AJ33" i="1"/>
  <c r="T33" i="1"/>
  <c r="V33" i="1"/>
  <c r="X33" i="1"/>
  <c r="AA33" i="1"/>
  <c r="H34" i="1"/>
  <c r="I34" i="1"/>
  <c r="K34" i="1"/>
  <c r="AC34" i="1"/>
  <c r="AD34" i="1"/>
  <c r="AE34" i="1"/>
  <c r="AF34" i="1"/>
  <c r="R34" i="1"/>
  <c r="AG34" i="1"/>
  <c r="AH34" i="1"/>
  <c r="L34" i="1"/>
  <c r="M34" i="1"/>
  <c r="N34" i="1"/>
  <c r="Q34" i="1"/>
  <c r="S34" i="1"/>
  <c r="AI34" i="1"/>
  <c r="AJ34" i="1"/>
  <c r="T34" i="1"/>
  <c r="V34" i="1"/>
  <c r="X34" i="1"/>
  <c r="AA34" i="1"/>
  <c r="H35" i="1"/>
  <c r="I35" i="1"/>
  <c r="K35" i="1"/>
  <c r="AC35" i="1"/>
  <c r="AD35" i="1"/>
  <c r="AE35" i="1"/>
  <c r="AF35" i="1"/>
  <c r="R35" i="1"/>
  <c r="AG35" i="1"/>
  <c r="AH35" i="1"/>
  <c r="L35" i="1"/>
  <c r="M35" i="1"/>
  <c r="N35" i="1"/>
  <c r="Q35" i="1"/>
  <c r="S35" i="1"/>
  <c r="AI35" i="1"/>
  <c r="AJ35" i="1"/>
  <c r="T35" i="1"/>
  <c r="V35" i="1"/>
  <c r="X35" i="1"/>
  <c r="AA35" i="1"/>
  <c r="H36" i="1"/>
  <c r="I36" i="1"/>
  <c r="K36" i="1"/>
  <c r="AC36" i="1"/>
  <c r="AD36" i="1"/>
  <c r="AE36" i="1"/>
  <c r="AF36" i="1"/>
  <c r="R36" i="1"/>
  <c r="AG36" i="1"/>
  <c r="AH36" i="1"/>
  <c r="L36" i="1"/>
  <c r="M36" i="1"/>
  <c r="N36" i="1"/>
  <c r="Q36" i="1"/>
  <c r="S36" i="1"/>
  <c r="AI36" i="1"/>
  <c r="AJ36" i="1"/>
  <c r="T36" i="1"/>
  <c r="V36" i="1"/>
  <c r="X36" i="1"/>
  <c r="AA36" i="1"/>
  <c r="H37" i="1"/>
  <c r="I37" i="1"/>
  <c r="K37" i="1"/>
  <c r="AC37" i="1"/>
  <c r="AD37" i="1"/>
  <c r="AE37" i="1"/>
  <c r="AF37" i="1"/>
  <c r="R37" i="1"/>
  <c r="AG37" i="1"/>
  <c r="AH37" i="1"/>
  <c r="L37" i="1"/>
  <c r="M37" i="1"/>
  <c r="N37" i="1"/>
  <c r="Q37" i="1"/>
  <c r="S37" i="1"/>
  <c r="AI37" i="1"/>
  <c r="AJ37" i="1"/>
  <c r="T37" i="1"/>
  <c r="V37" i="1"/>
  <c r="X37" i="1"/>
  <c r="AA37" i="1"/>
  <c r="H38" i="1"/>
  <c r="I38" i="1"/>
  <c r="K38" i="1"/>
  <c r="AC38" i="1"/>
  <c r="AD38" i="1"/>
  <c r="AE38" i="1"/>
  <c r="AF38" i="1"/>
  <c r="R38" i="1"/>
  <c r="AG38" i="1"/>
  <c r="AH38" i="1"/>
  <c r="L38" i="1"/>
  <c r="M38" i="1"/>
  <c r="N38" i="1"/>
  <c r="Q38" i="1"/>
  <c r="S38" i="1"/>
  <c r="AI38" i="1"/>
  <c r="AJ38" i="1"/>
  <c r="T38" i="1"/>
  <c r="V38" i="1"/>
  <c r="X38" i="1"/>
  <c r="AA38" i="1"/>
  <c r="H39" i="1"/>
  <c r="I39" i="1"/>
  <c r="K39" i="1"/>
  <c r="AC39" i="1"/>
  <c r="AD39" i="1"/>
  <c r="AE39" i="1"/>
  <c r="AF39" i="1"/>
  <c r="R39" i="1"/>
  <c r="AG39" i="1"/>
  <c r="AH39" i="1"/>
  <c r="L39" i="1"/>
  <c r="M39" i="1"/>
  <c r="N39" i="1"/>
  <c r="Q39" i="1"/>
  <c r="S39" i="1"/>
  <c r="AI39" i="1"/>
  <c r="AJ39" i="1"/>
  <c r="T39" i="1"/>
  <c r="V39" i="1"/>
  <c r="X39" i="1"/>
  <c r="AA39" i="1"/>
  <c r="H40" i="1"/>
  <c r="I40" i="1"/>
  <c r="K40" i="1"/>
  <c r="AC40" i="1"/>
  <c r="AD40" i="1"/>
  <c r="AE40" i="1"/>
  <c r="AF40" i="1"/>
  <c r="R40" i="1"/>
  <c r="AG40" i="1"/>
  <c r="AH40" i="1"/>
  <c r="L40" i="1"/>
  <c r="M40" i="1"/>
  <c r="N40" i="1"/>
  <c r="Q40" i="1"/>
  <c r="S40" i="1"/>
  <c r="AI40" i="1"/>
  <c r="AJ40" i="1"/>
  <c r="T40" i="1"/>
  <c r="V40" i="1"/>
  <c r="X40" i="1"/>
  <c r="AA40" i="1"/>
  <c r="H41" i="1"/>
  <c r="I41" i="1"/>
  <c r="K41" i="1"/>
  <c r="AC41" i="1"/>
  <c r="AD41" i="1"/>
  <c r="AE41" i="1"/>
  <c r="AF41" i="1"/>
  <c r="R41" i="1"/>
  <c r="AG41" i="1"/>
  <c r="AH41" i="1"/>
  <c r="L41" i="1"/>
  <c r="M41" i="1"/>
  <c r="N41" i="1"/>
  <c r="Q41" i="1"/>
  <c r="S41" i="1"/>
  <c r="AI41" i="1"/>
  <c r="AJ41" i="1"/>
  <c r="T41" i="1"/>
  <c r="V41" i="1"/>
  <c r="X41" i="1"/>
  <c r="AA41" i="1"/>
  <c r="H42" i="1"/>
  <c r="I42" i="1"/>
  <c r="K42" i="1"/>
  <c r="AC42" i="1"/>
  <c r="AD42" i="1"/>
  <c r="AE42" i="1"/>
  <c r="AF42" i="1"/>
  <c r="R42" i="1"/>
  <c r="AG42" i="1"/>
  <c r="AH42" i="1"/>
  <c r="L42" i="1"/>
  <c r="M42" i="1"/>
  <c r="N42" i="1"/>
  <c r="Q42" i="1"/>
  <c r="S42" i="1"/>
  <c r="AI42" i="1"/>
  <c r="AJ42" i="1"/>
  <c r="T42" i="1"/>
  <c r="V42" i="1"/>
  <c r="X42" i="1"/>
  <c r="AA42" i="1"/>
  <c r="H43" i="1"/>
  <c r="I43" i="1"/>
  <c r="K43" i="1"/>
  <c r="AC43" i="1"/>
  <c r="AD43" i="1"/>
  <c r="AE43" i="1"/>
  <c r="AF43" i="1"/>
  <c r="R43" i="1"/>
  <c r="AG43" i="1"/>
  <c r="AH43" i="1"/>
  <c r="L43" i="1"/>
  <c r="M43" i="1"/>
  <c r="N43" i="1"/>
  <c r="Q43" i="1"/>
  <c r="S43" i="1"/>
  <c r="AI43" i="1"/>
  <c r="AJ43" i="1"/>
  <c r="T43" i="1"/>
  <c r="V43" i="1"/>
  <c r="X43" i="1"/>
  <c r="AA43" i="1"/>
  <c r="H44" i="1"/>
  <c r="I44" i="1"/>
  <c r="K44" i="1"/>
  <c r="AC44" i="1"/>
  <c r="AD44" i="1"/>
  <c r="AE44" i="1"/>
  <c r="AF44" i="1"/>
  <c r="R44" i="1"/>
  <c r="AG44" i="1"/>
  <c r="AH44" i="1"/>
  <c r="L44" i="1"/>
  <c r="M44" i="1"/>
  <c r="N44" i="1"/>
  <c r="Q44" i="1"/>
  <c r="S44" i="1"/>
  <c r="AI44" i="1"/>
  <c r="AJ44" i="1"/>
  <c r="T44" i="1"/>
  <c r="V44" i="1"/>
  <c r="X44" i="1"/>
  <c r="AA44" i="1"/>
  <c r="H45" i="1"/>
  <c r="I45" i="1"/>
  <c r="K45" i="1"/>
  <c r="AC45" i="1"/>
  <c r="AD45" i="1"/>
  <c r="AE45" i="1"/>
  <c r="AF45" i="1"/>
  <c r="R45" i="1"/>
  <c r="AG45" i="1"/>
  <c r="AH45" i="1"/>
  <c r="L45" i="1"/>
  <c r="M45" i="1"/>
  <c r="N45" i="1"/>
  <c r="Q45" i="1"/>
  <c r="S45" i="1"/>
  <c r="AI45" i="1"/>
  <c r="AJ45" i="1"/>
  <c r="T45" i="1"/>
  <c r="V45" i="1"/>
  <c r="X45" i="1"/>
  <c r="AA45" i="1"/>
  <c r="I48" i="1"/>
  <c r="K48" i="1"/>
  <c r="AC48" i="1"/>
  <c r="AD48" i="1"/>
  <c r="AE48" i="1"/>
  <c r="AF48" i="1"/>
  <c r="R48" i="1"/>
  <c r="AG48" i="1"/>
  <c r="AH48" i="1"/>
  <c r="L48" i="1"/>
  <c r="M48" i="1"/>
  <c r="N48" i="1"/>
  <c r="Q48" i="1"/>
  <c r="S48" i="1"/>
  <c r="AI48" i="1"/>
  <c r="AJ48" i="1"/>
  <c r="T48" i="1"/>
  <c r="V48" i="1"/>
  <c r="X48" i="1"/>
  <c r="AA48" i="1"/>
  <c r="I49" i="1"/>
  <c r="K49" i="1"/>
  <c r="AC49" i="1"/>
  <c r="AD49" i="1"/>
  <c r="AE49" i="1"/>
  <c r="AF49" i="1"/>
  <c r="R49" i="1"/>
  <c r="AG49" i="1"/>
  <c r="AH49" i="1"/>
  <c r="L49" i="1"/>
  <c r="M49" i="1"/>
  <c r="N49" i="1"/>
  <c r="Q49" i="1"/>
  <c r="S49" i="1"/>
  <c r="AI49" i="1"/>
  <c r="AJ49" i="1"/>
  <c r="T49" i="1"/>
  <c r="V49" i="1"/>
  <c r="X49" i="1"/>
  <c r="AA49" i="1"/>
  <c r="I50" i="1"/>
  <c r="K50" i="1"/>
  <c r="AC50" i="1"/>
  <c r="AD50" i="1"/>
  <c r="AE50" i="1"/>
  <c r="AF50" i="1"/>
  <c r="R50" i="1"/>
  <c r="AG50" i="1"/>
  <c r="AH50" i="1"/>
  <c r="L50" i="1"/>
  <c r="M50" i="1"/>
  <c r="N50" i="1"/>
  <c r="Q50" i="1"/>
  <c r="S50" i="1"/>
  <c r="AI50" i="1"/>
  <c r="AJ50" i="1"/>
  <c r="T50" i="1"/>
  <c r="V50" i="1"/>
  <c r="X50" i="1"/>
  <c r="AA50" i="1"/>
  <c r="I51" i="1"/>
  <c r="K51" i="1"/>
  <c r="AC51" i="1"/>
  <c r="AD51" i="1"/>
  <c r="AE51" i="1"/>
  <c r="AF51" i="1"/>
  <c r="R51" i="1"/>
  <c r="AG51" i="1"/>
  <c r="AH51" i="1"/>
  <c r="L51" i="1"/>
  <c r="M51" i="1"/>
  <c r="N51" i="1"/>
  <c r="Q51" i="1"/>
  <c r="S51" i="1"/>
  <c r="AI51" i="1"/>
  <c r="AJ51" i="1"/>
  <c r="T51" i="1"/>
  <c r="V51" i="1"/>
  <c r="X51" i="1"/>
  <c r="AA51" i="1"/>
  <c r="I54" i="1"/>
  <c r="K54" i="1"/>
  <c r="AC54" i="1"/>
  <c r="AD54" i="1"/>
  <c r="AE54" i="1"/>
  <c r="AF54" i="1"/>
  <c r="R54" i="1"/>
  <c r="AG54" i="1"/>
  <c r="AH54" i="1"/>
  <c r="L54" i="1"/>
  <c r="M54" i="1"/>
  <c r="N54" i="1"/>
  <c r="Q54" i="1"/>
  <c r="S54" i="1"/>
  <c r="AI54" i="1"/>
  <c r="AJ54" i="1"/>
  <c r="T54" i="1"/>
  <c r="V54" i="1"/>
  <c r="X54" i="1"/>
  <c r="AA54" i="1"/>
  <c r="I55" i="1"/>
  <c r="K55" i="1"/>
  <c r="AC55" i="1"/>
  <c r="AD55" i="1"/>
  <c r="AE55" i="1"/>
  <c r="AF55" i="1"/>
  <c r="R55" i="1"/>
  <c r="AG55" i="1"/>
  <c r="AH55" i="1"/>
  <c r="L55" i="1"/>
  <c r="M55" i="1"/>
  <c r="N55" i="1"/>
  <c r="Q55" i="1"/>
  <c r="S55" i="1"/>
  <c r="AI55" i="1"/>
  <c r="AJ55" i="1"/>
  <c r="T55" i="1"/>
  <c r="V55" i="1"/>
  <c r="X55" i="1"/>
  <c r="AA55" i="1"/>
  <c r="I56" i="1"/>
  <c r="K56" i="1"/>
  <c r="AC56" i="1"/>
  <c r="AD56" i="1"/>
  <c r="AE56" i="1"/>
  <c r="AF56" i="1"/>
  <c r="R56" i="1"/>
  <c r="AG56" i="1"/>
  <c r="AH56" i="1"/>
  <c r="L56" i="1"/>
  <c r="M56" i="1"/>
  <c r="N56" i="1"/>
  <c r="Q56" i="1"/>
  <c r="S56" i="1"/>
  <c r="AI56" i="1"/>
  <c r="AJ56" i="1"/>
  <c r="T56" i="1"/>
  <c r="V56" i="1"/>
  <c r="X56" i="1"/>
  <c r="AA56" i="1"/>
  <c r="I57" i="1"/>
  <c r="K57" i="1"/>
  <c r="AC57" i="1"/>
  <c r="AD57" i="1"/>
  <c r="AE57" i="1"/>
  <c r="AF57" i="1"/>
  <c r="R57" i="1"/>
  <c r="AG57" i="1"/>
  <c r="AH57" i="1"/>
  <c r="L57" i="1"/>
  <c r="M57" i="1"/>
  <c r="N57" i="1"/>
  <c r="Q57" i="1"/>
  <c r="S57" i="1"/>
  <c r="AI57" i="1"/>
  <c r="AJ57" i="1"/>
  <c r="T57" i="1"/>
  <c r="V57" i="1"/>
  <c r="X57" i="1"/>
  <c r="AA57" i="1"/>
  <c r="I58" i="1"/>
  <c r="K58" i="1"/>
  <c r="AC58" i="1"/>
  <c r="AD58" i="1"/>
  <c r="AE58" i="1"/>
  <c r="AF58" i="1"/>
  <c r="R58" i="1"/>
  <c r="AG58" i="1"/>
  <c r="AH58" i="1"/>
  <c r="L58" i="1"/>
  <c r="M58" i="1"/>
  <c r="N58" i="1"/>
  <c r="Q58" i="1"/>
  <c r="S58" i="1"/>
  <c r="AI58" i="1"/>
  <c r="AJ58" i="1"/>
  <c r="T58" i="1"/>
  <c r="V58" i="1"/>
  <c r="X58" i="1"/>
  <c r="AA58" i="1"/>
  <c r="I59" i="1"/>
  <c r="K59" i="1"/>
  <c r="AC59" i="1"/>
  <c r="AD59" i="1"/>
  <c r="AE59" i="1"/>
  <c r="AF59" i="1"/>
  <c r="R59" i="1"/>
  <c r="AG59" i="1"/>
  <c r="AH59" i="1"/>
  <c r="L59" i="1"/>
  <c r="M59" i="1"/>
  <c r="N59" i="1"/>
  <c r="Q59" i="1"/>
  <c r="S59" i="1"/>
  <c r="AI59" i="1"/>
  <c r="AJ59" i="1"/>
  <c r="T59" i="1"/>
  <c r="V59" i="1"/>
  <c r="X59" i="1"/>
  <c r="AA59" i="1"/>
  <c r="I62" i="1"/>
  <c r="K62" i="1"/>
  <c r="AC62" i="1"/>
  <c r="AD62" i="1"/>
  <c r="AE62" i="1"/>
  <c r="AF62" i="1"/>
  <c r="R62" i="1"/>
  <c r="AG62" i="1"/>
  <c r="AH62" i="1"/>
  <c r="L62" i="1"/>
  <c r="M62" i="1"/>
  <c r="N62" i="1"/>
  <c r="Q62" i="1"/>
  <c r="S62" i="1"/>
  <c r="AI62" i="1"/>
  <c r="AJ62" i="1"/>
  <c r="T62" i="1"/>
  <c r="V62" i="1"/>
  <c r="X62" i="1"/>
  <c r="AA62" i="1"/>
  <c r="I63" i="1"/>
  <c r="K63" i="1"/>
  <c r="AC63" i="1"/>
  <c r="AD63" i="1"/>
  <c r="AE63" i="1"/>
  <c r="AF63" i="1"/>
  <c r="R63" i="1"/>
  <c r="AG63" i="1"/>
  <c r="AH63" i="1"/>
  <c r="L63" i="1"/>
  <c r="M63" i="1"/>
  <c r="N63" i="1"/>
  <c r="Q63" i="1"/>
  <c r="S63" i="1"/>
  <c r="AI63" i="1"/>
  <c r="AJ63" i="1"/>
  <c r="T63" i="1"/>
  <c r="V63" i="1"/>
  <c r="X63" i="1"/>
  <c r="AA63" i="1"/>
  <c r="I64" i="1"/>
  <c r="K64" i="1"/>
  <c r="AC64" i="1"/>
  <c r="AD64" i="1"/>
  <c r="AE64" i="1"/>
  <c r="AF64" i="1"/>
  <c r="R64" i="1"/>
  <c r="AG64" i="1"/>
  <c r="AH64" i="1"/>
  <c r="L64" i="1"/>
  <c r="M64" i="1"/>
  <c r="N64" i="1"/>
  <c r="Q64" i="1"/>
  <c r="S64" i="1"/>
  <c r="AI64" i="1"/>
  <c r="AJ64" i="1"/>
  <c r="T64" i="1"/>
  <c r="V64" i="1"/>
  <c r="X64" i="1"/>
  <c r="AA64" i="1"/>
  <c r="I65" i="1"/>
  <c r="K65" i="1"/>
  <c r="AC65" i="1"/>
  <c r="AD65" i="1"/>
  <c r="AE65" i="1"/>
  <c r="AF65" i="1"/>
  <c r="R65" i="1"/>
  <c r="AG65" i="1"/>
  <c r="AH65" i="1"/>
  <c r="L65" i="1"/>
  <c r="M65" i="1"/>
  <c r="N65" i="1"/>
  <c r="Q65" i="1"/>
  <c r="S65" i="1"/>
  <c r="AI65" i="1"/>
  <c r="AJ65" i="1"/>
  <c r="T65" i="1"/>
  <c r="V65" i="1"/>
  <c r="X65" i="1"/>
  <c r="AA65" i="1"/>
  <c r="I66" i="1"/>
  <c r="K66" i="1"/>
  <c r="AC66" i="1"/>
  <c r="AD66" i="1"/>
  <c r="AE66" i="1"/>
  <c r="AF66" i="1"/>
  <c r="R66" i="1"/>
  <c r="AG66" i="1"/>
  <c r="AH66" i="1"/>
  <c r="L66" i="1"/>
  <c r="M66" i="1"/>
  <c r="N66" i="1"/>
  <c r="Q66" i="1"/>
  <c r="S66" i="1"/>
  <c r="AI66" i="1"/>
  <c r="AJ66" i="1"/>
  <c r="T66" i="1"/>
  <c r="V66" i="1"/>
  <c r="X66" i="1"/>
  <c r="AA66" i="1"/>
  <c r="N68" i="1"/>
  <c r="O68" i="1" a="1"/>
  <c r="O68" i="1"/>
  <c r="V68" i="1"/>
  <c r="X68" i="1"/>
  <c r="AA68" i="1"/>
  <c r="H69" i="1"/>
  <c r="N69" i="1"/>
  <c r="O69" i="1" a="1"/>
  <c r="O69" i="1"/>
  <c r="V69" i="1"/>
  <c r="X69" i="1"/>
  <c r="AA69" i="1"/>
  <c r="V70" i="1"/>
  <c r="X70" i="1"/>
  <c r="H8" i="2"/>
  <c r="I8" i="2"/>
  <c r="M8" i="2"/>
  <c r="N8" i="2"/>
  <c r="T8" i="2"/>
  <c r="X8" i="2"/>
  <c r="AB8" i="2"/>
  <c r="H9" i="2"/>
  <c r="I9" i="2"/>
  <c r="M9" i="2"/>
  <c r="N9" i="2"/>
  <c r="T9" i="2"/>
  <c r="X9" i="2"/>
  <c r="AB9" i="2"/>
  <c r="H10" i="2"/>
  <c r="I10" i="2"/>
  <c r="M10" i="2"/>
  <c r="N10" i="2"/>
  <c r="T10" i="2"/>
  <c r="X10" i="2"/>
  <c r="AB10" i="2"/>
  <c r="H11" i="2"/>
  <c r="I11" i="2"/>
  <c r="M11" i="2"/>
  <c r="N11" i="2"/>
  <c r="T11" i="2"/>
  <c r="X11" i="2"/>
  <c r="AB11" i="2"/>
  <c r="H12" i="2"/>
  <c r="I12" i="2"/>
  <c r="M12" i="2"/>
  <c r="N12" i="2"/>
  <c r="T12" i="2"/>
  <c r="X12" i="2"/>
  <c r="AB12" i="2"/>
  <c r="H13" i="2"/>
  <c r="I13" i="2"/>
  <c r="M13" i="2"/>
  <c r="N13" i="2"/>
  <c r="T13" i="2"/>
  <c r="X13" i="2"/>
  <c r="AB13" i="2"/>
  <c r="H14" i="2"/>
  <c r="I14" i="2"/>
  <c r="M14" i="2"/>
  <c r="N14" i="2"/>
  <c r="T14" i="2"/>
  <c r="X14" i="2"/>
  <c r="AB14" i="2"/>
  <c r="H15" i="2"/>
  <c r="I15" i="2"/>
  <c r="M15" i="2"/>
  <c r="N15" i="2"/>
  <c r="T15" i="2"/>
  <c r="X15" i="2"/>
  <c r="AB15" i="2"/>
  <c r="H16" i="2"/>
  <c r="I16" i="2"/>
  <c r="M16" i="2"/>
  <c r="N16" i="2"/>
  <c r="T16" i="2"/>
  <c r="X16" i="2"/>
  <c r="AB16" i="2"/>
  <c r="H17" i="2"/>
  <c r="I17" i="2"/>
  <c r="M17" i="2"/>
  <c r="N17" i="2"/>
  <c r="T17" i="2"/>
  <c r="X17" i="2"/>
  <c r="AB17" i="2"/>
  <c r="H18" i="2"/>
  <c r="I18" i="2"/>
  <c r="M18" i="2"/>
  <c r="N18" i="2"/>
  <c r="T18" i="2"/>
  <c r="X18" i="2"/>
  <c r="AB18" i="2"/>
  <c r="H19" i="2"/>
  <c r="I19" i="2"/>
  <c r="M19" i="2"/>
  <c r="N19" i="2"/>
  <c r="T19" i="2"/>
  <c r="X19" i="2"/>
  <c r="AB19" i="2"/>
  <c r="H20" i="2"/>
  <c r="I20" i="2"/>
  <c r="M20" i="2"/>
  <c r="N20" i="2"/>
  <c r="T20" i="2"/>
  <c r="X20" i="2"/>
  <c r="AB20" i="2"/>
  <c r="H21" i="2"/>
  <c r="I21" i="2"/>
  <c r="M21" i="2"/>
  <c r="N21" i="2"/>
  <c r="T21" i="2"/>
  <c r="X21" i="2"/>
  <c r="AB21" i="2"/>
  <c r="H22" i="2"/>
  <c r="I22" i="2"/>
  <c r="M22" i="2"/>
  <c r="N22" i="2"/>
  <c r="T22" i="2"/>
  <c r="X22" i="2"/>
  <c r="AB22" i="2"/>
  <c r="T23" i="2"/>
  <c r="X23" i="2"/>
  <c r="AB23" i="2"/>
  <c r="A24" i="2"/>
  <c r="B24" i="2"/>
  <c r="T24" i="2"/>
  <c r="X24" i="2"/>
  <c r="AB24" i="2"/>
  <c r="A25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P25" i="2"/>
  <c r="Q25" i="2"/>
  <c r="R25" i="2"/>
  <c r="T25" i="2"/>
  <c r="X25" i="2"/>
  <c r="AB25" i="2"/>
  <c r="A26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P26" i="2"/>
  <c r="Q26" i="2"/>
  <c r="R26" i="2"/>
  <c r="T26" i="2"/>
  <c r="X26" i="2"/>
  <c r="AB26" i="2"/>
  <c r="A27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P27" i="2"/>
  <c r="Q27" i="2"/>
  <c r="R27" i="2"/>
  <c r="T27" i="2"/>
  <c r="X27" i="2"/>
  <c r="AB27" i="2"/>
  <c r="A28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P28" i="2"/>
  <c r="Q28" i="2"/>
  <c r="R28" i="2"/>
  <c r="T28" i="2"/>
  <c r="X28" i="2"/>
  <c r="AB28" i="2"/>
  <c r="A29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P29" i="2"/>
  <c r="Q29" i="2"/>
  <c r="R29" i="2"/>
  <c r="T29" i="2"/>
  <c r="X29" i="2"/>
  <c r="AB29" i="2"/>
  <c r="A30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P30" i="2"/>
  <c r="Q30" i="2"/>
  <c r="R30" i="2"/>
  <c r="T30" i="2"/>
  <c r="X30" i="2"/>
  <c r="AB30" i="2"/>
  <c r="A31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P31" i="2"/>
  <c r="Q31" i="2"/>
  <c r="R31" i="2"/>
  <c r="T31" i="2"/>
  <c r="X31" i="2"/>
  <c r="AB31" i="2"/>
  <c r="A32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P32" i="2"/>
  <c r="Q32" i="2"/>
  <c r="R32" i="2"/>
  <c r="T32" i="2"/>
  <c r="X32" i="2"/>
  <c r="AB32" i="2"/>
  <c r="A33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P33" i="2"/>
  <c r="Q33" i="2"/>
  <c r="R33" i="2"/>
  <c r="T33" i="2"/>
  <c r="X33" i="2"/>
  <c r="AB33" i="2"/>
  <c r="A34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P34" i="2"/>
  <c r="Q34" i="2"/>
  <c r="R34" i="2"/>
  <c r="T34" i="2"/>
  <c r="X34" i="2"/>
  <c r="AB34" i="2"/>
  <c r="A35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P35" i="2"/>
  <c r="Q35" i="2"/>
  <c r="R35" i="2"/>
  <c r="T35" i="2"/>
  <c r="X35" i="2"/>
  <c r="AB35" i="2"/>
  <c r="A36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P36" i="2"/>
  <c r="Q36" i="2"/>
  <c r="R36" i="2"/>
  <c r="T36" i="2"/>
  <c r="X36" i="2"/>
  <c r="AB36" i="2"/>
  <c r="A37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P37" i="2"/>
  <c r="Q37" i="2"/>
  <c r="R37" i="2"/>
  <c r="T37" i="2"/>
  <c r="X37" i="2"/>
  <c r="AB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P38" i="2"/>
  <c r="Q38" i="2"/>
  <c r="R38" i="2"/>
  <c r="T38" i="2"/>
  <c r="X38" i="2"/>
  <c r="AB38" i="2"/>
  <c r="A39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P39" i="2"/>
  <c r="Q39" i="2"/>
  <c r="R39" i="2"/>
  <c r="T39" i="2"/>
  <c r="X39" i="2"/>
  <c r="AB39" i="2"/>
  <c r="A40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P40" i="2"/>
  <c r="Q40" i="2"/>
  <c r="R40" i="2"/>
  <c r="T40" i="2"/>
  <c r="X40" i="2"/>
  <c r="AB40" i="2"/>
  <c r="A41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P41" i="2"/>
  <c r="Q41" i="2"/>
  <c r="R41" i="2"/>
  <c r="T41" i="2"/>
  <c r="X41" i="2"/>
  <c r="AB41" i="2"/>
  <c r="A42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P42" i="2"/>
  <c r="Q42" i="2"/>
  <c r="R42" i="2"/>
  <c r="T42" i="2"/>
  <c r="X42" i="2"/>
  <c r="AB42" i="2"/>
  <c r="A43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P43" i="2"/>
  <c r="Q43" i="2"/>
  <c r="R43" i="2"/>
  <c r="T43" i="2"/>
  <c r="X43" i="2"/>
  <c r="AB43" i="2"/>
  <c r="A44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P44" i="2"/>
  <c r="Q44" i="2"/>
  <c r="R44" i="2"/>
  <c r="T44" i="2"/>
  <c r="X44" i="2"/>
  <c r="AB44" i="2"/>
  <c r="A45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P45" i="2"/>
  <c r="Q45" i="2"/>
  <c r="R45" i="2"/>
  <c r="T45" i="2"/>
  <c r="X45" i="2"/>
  <c r="AB45" i="2"/>
  <c r="T46" i="2"/>
  <c r="X46" i="2"/>
  <c r="AB46" i="2"/>
  <c r="T47" i="2"/>
  <c r="X47" i="2"/>
  <c r="AB47" i="2"/>
  <c r="A48" i="2"/>
  <c r="A49" i="2"/>
  <c r="B49" i="2"/>
  <c r="C49" i="2"/>
  <c r="D49" i="2"/>
  <c r="E49" i="2"/>
  <c r="F49" i="2"/>
  <c r="H49" i="2"/>
  <c r="I49" i="2"/>
  <c r="J49" i="2"/>
  <c r="K49" i="2"/>
  <c r="L49" i="2"/>
  <c r="M49" i="2"/>
  <c r="N49" i="2"/>
  <c r="P49" i="2"/>
  <c r="Q49" i="2"/>
  <c r="R49" i="2"/>
  <c r="T49" i="2"/>
  <c r="X49" i="2"/>
  <c r="AB49" i="2"/>
  <c r="A50" i="2"/>
  <c r="B50" i="2"/>
  <c r="C50" i="2"/>
  <c r="D50" i="2"/>
  <c r="E50" i="2"/>
  <c r="F50" i="2"/>
  <c r="H50" i="2"/>
  <c r="I50" i="2"/>
  <c r="J50" i="2"/>
  <c r="K50" i="2"/>
  <c r="L50" i="2"/>
  <c r="M50" i="2"/>
  <c r="N50" i="2"/>
  <c r="P50" i="2"/>
  <c r="Q50" i="2"/>
  <c r="R50" i="2"/>
  <c r="T50" i="2"/>
  <c r="X50" i="2"/>
  <c r="AB50" i="2"/>
  <c r="A51" i="2"/>
  <c r="B51" i="2"/>
  <c r="C51" i="2"/>
  <c r="D51" i="2"/>
  <c r="E51" i="2"/>
  <c r="F51" i="2"/>
  <c r="H51" i="2"/>
  <c r="I51" i="2"/>
  <c r="J51" i="2"/>
  <c r="K51" i="2"/>
  <c r="L51" i="2"/>
  <c r="M51" i="2"/>
  <c r="N51" i="2"/>
  <c r="P51" i="2"/>
  <c r="Q51" i="2"/>
  <c r="R51" i="2"/>
  <c r="T51" i="2"/>
  <c r="X51" i="2"/>
  <c r="AB51" i="2"/>
  <c r="A52" i="2"/>
  <c r="B52" i="2"/>
  <c r="C52" i="2"/>
  <c r="D52" i="2"/>
  <c r="E52" i="2"/>
  <c r="F52" i="2"/>
  <c r="H52" i="2"/>
  <c r="I52" i="2"/>
  <c r="J52" i="2"/>
  <c r="K52" i="2"/>
  <c r="L52" i="2"/>
  <c r="M52" i="2"/>
  <c r="N52" i="2"/>
  <c r="P52" i="2"/>
  <c r="Q52" i="2"/>
  <c r="R52" i="2"/>
  <c r="T52" i="2"/>
  <c r="X52" i="2"/>
  <c r="AB52" i="2"/>
  <c r="T53" i="2"/>
  <c r="X53" i="2"/>
  <c r="AB53" i="2"/>
  <c r="T54" i="2"/>
  <c r="X54" i="2"/>
  <c r="AB54" i="2"/>
  <c r="A55" i="2"/>
  <c r="I55" i="2"/>
  <c r="K55" i="2"/>
  <c r="M55" i="2"/>
  <c r="N55" i="2"/>
  <c r="P55" i="2"/>
  <c r="Q55" i="2"/>
  <c r="T55" i="2"/>
  <c r="X55" i="2"/>
  <c r="AB55" i="2"/>
  <c r="I56" i="2"/>
  <c r="K56" i="2"/>
  <c r="M56" i="2"/>
  <c r="N56" i="2"/>
  <c r="P56" i="2"/>
  <c r="Q56" i="2"/>
  <c r="T56" i="2"/>
  <c r="X56" i="2"/>
  <c r="AB56" i="2"/>
  <c r="I57" i="2"/>
  <c r="K57" i="2"/>
  <c r="M57" i="2"/>
  <c r="N57" i="2"/>
  <c r="P57" i="2"/>
  <c r="Q57" i="2"/>
  <c r="T57" i="2"/>
  <c r="X57" i="2"/>
  <c r="AB57" i="2"/>
  <c r="I58" i="2"/>
  <c r="K58" i="2"/>
  <c r="M58" i="2"/>
  <c r="N58" i="2"/>
  <c r="P58" i="2"/>
  <c r="Q58" i="2"/>
  <c r="T58" i="2"/>
  <c r="X58" i="2"/>
  <c r="AB58" i="2"/>
  <c r="I59" i="2"/>
  <c r="K59" i="2"/>
  <c r="M59" i="2"/>
  <c r="N59" i="2"/>
  <c r="P59" i="2"/>
  <c r="Q59" i="2"/>
  <c r="T59" i="2"/>
  <c r="X59" i="2"/>
  <c r="AB59" i="2"/>
  <c r="I60" i="2"/>
  <c r="K60" i="2"/>
  <c r="M60" i="2"/>
  <c r="N60" i="2"/>
  <c r="P60" i="2"/>
  <c r="Q60" i="2"/>
  <c r="T60" i="2"/>
  <c r="X60" i="2"/>
  <c r="AB60" i="2"/>
  <c r="T61" i="2"/>
  <c r="X61" i="2"/>
  <c r="AB61" i="2"/>
  <c r="A62" i="2"/>
  <c r="B62" i="2"/>
  <c r="T62" i="2"/>
  <c r="X62" i="2"/>
  <c r="AB62" i="2"/>
  <c r="A63" i="2"/>
  <c r="B63" i="2"/>
  <c r="C63" i="2"/>
  <c r="D63" i="2"/>
  <c r="E63" i="2"/>
  <c r="F63" i="2"/>
  <c r="G63" i="2"/>
  <c r="H63" i="2"/>
  <c r="I63" i="2"/>
  <c r="J63" i="2"/>
  <c r="N63" i="2"/>
  <c r="P63" i="2"/>
  <c r="Q63" i="2"/>
  <c r="T63" i="2"/>
  <c r="X63" i="2"/>
  <c r="AB63" i="2"/>
  <c r="A64" i="2"/>
  <c r="B64" i="2"/>
  <c r="C64" i="2"/>
  <c r="D64" i="2"/>
  <c r="E64" i="2"/>
  <c r="F64" i="2"/>
  <c r="G64" i="2"/>
  <c r="H64" i="2"/>
  <c r="I64" i="2"/>
  <c r="J64" i="2"/>
  <c r="N64" i="2"/>
  <c r="P64" i="2"/>
  <c r="Q64" i="2"/>
  <c r="T64" i="2"/>
  <c r="X64" i="2"/>
  <c r="AB64" i="2"/>
  <c r="A65" i="2"/>
  <c r="B65" i="2"/>
  <c r="C65" i="2"/>
  <c r="D65" i="2"/>
  <c r="E65" i="2"/>
  <c r="F65" i="2"/>
  <c r="G65" i="2"/>
  <c r="H65" i="2"/>
  <c r="I65" i="2"/>
  <c r="J65" i="2"/>
  <c r="N65" i="2"/>
  <c r="P65" i="2"/>
  <c r="Q65" i="2"/>
  <c r="T65" i="2"/>
  <c r="X65" i="2"/>
  <c r="AB65" i="2"/>
  <c r="A66" i="2"/>
  <c r="B66" i="2"/>
  <c r="C66" i="2"/>
  <c r="D66" i="2"/>
  <c r="E66" i="2"/>
  <c r="F66" i="2"/>
  <c r="G66" i="2"/>
  <c r="H66" i="2"/>
  <c r="I66" i="2"/>
  <c r="J66" i="2"/>
  <c r="N66" i="2"/>
  <c r="P66" i="2"/>
  <c r="Q66" i="2"/>
  <c r="T66" i="2"/>
  <c r="X66" i="2"/>
  <c r="AB66" i="2"/>
  <c r="A67" i="2"/>
  <c r="B67" i="2"/>
  <c r="C67" i="2"/>
  <c r="D67" i="2"/>
  <c r="E67" i="2"/>
  <c r="F67" i="2"/>
  <c r="G67" i="2"/>
  <c r="H67" i="2"/>
  <c r="I67" i="2"/>
  <c r="J67" i="2"/>
  <c r="N67" i="2"/>
  <c r="P67" i="2"/>
  <c r="Q67" i="2"/>
  <c r="T67" i="2"/>
  <c r="X67" i="2"/>
  <c r="AB67" i="2"/>
  <c r="T68" i="2"/>
  <c r="X68" i="2"/>
  <c r="AB68" i="2"/>
  <c r="T69" i="2"/>
  <c r="X69" i="2"/>
  <c r="AB69" i="2"/>
  <c r="T71" i="2"/>
  <c r="X71" i="2"/>
  <c r="AB71" i="2"/>
  <c r="T72" i="2"/>
  <c r="X72" i="2"/>
  <c r="AB72" i="2"/>
  <c r="T73" i="2"/>
  <c r="X73" i="2"/>
  <c r="AB73" i="2"/>
  <c r="T74" i="2" a="1"/>
  <c r="T74" i="2"/>
  <c r="X74" i="2" a="1"/>
  <c r="X74" i="2"/>
  <c r="AB74" i="2" a="1"/>
  <c r="AB74" i="2"/>
</calcChain>
</file>

<file path=xl/sharedStrings.xml><?xml version="1.0" encoding="utf-8"?>
<sst xmlns="http://schemas.openxmlformats.org/spreadsheetml/2006/main" count="274" uniqueCount="144">
  <si>
    <t>Long Square and Rectangular Tube Columns</t>
  </si>
  <si>
    <t xml:space="preserve"> 'k' factor</t>
  </si>
  <si>
    <t>2nd order</t>
  </si>
  <si>
    <t>with Moment</t>
  </si>
  <si>
    <t>analysis</t>
  </si>
  <si>
    <t>Data</t>
  </si>
  <si>
    <t xml:space="preserve">*  Ec = </t>
  </si>
  <si>
    <t>22*((fcyl+8)/10)^0.3</t>
  </si>
  <si>
    <t>N from</t>
  </si>
  <si>
    <t>from</t>
  </si>
  <si>
    <t>local</t>
  </si>
  <si>
    <t>Test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</si>
  <si>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</si>
  <si>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</si>
  <si>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curve</t>
  </si>
  <si>
    <t>d</t>
  </si>
  <si>
    <t>|&lt;---</t>
  </si>
  <si>
    <t>suplement</t>
  </si>
  <si>
    <t>ary</t>
  </si>
  <si>
    <t>calculation</t>
  </si>
  <si>
    <t>---&gt;|</t>
  </si>
  <si>
    <t>Ref. No.</t>
  </si>
  <si>
    <t>b</t>
  </si>
  <si>
    <t>h</t>
  </si>
  <si>
    <t>t</t>
  </si>
  <si>
    <t>Yield</t>
  </si>
  <si>
    <t>Es</t>
  </si>
  <si>
    <t>fcu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</si>
  <si>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</si>
  <si>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</si>
  <si>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</si>
  <si>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</si>
  <si>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</si>
  <si>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</si>
  <si>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</si>
  <si>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</si>
  <si>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</si>
  <si>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M (N*e)</t>
  </si>
  <si>
    <t>EC4</t>
  </si>
  <si>
    <r>
      <t>EC4</t>
    </r>
    <r>
      <rPr>
        <sz val="10"/>
        <rFont val="Arial"/>
        <family val="2"/>
      </rPr>
      <t>k</t>
    </r>
  </si>
  <si>
    <t>N</t>
  </si>
  <si>
    <r>
      <t>e</t>
    </r>
    <r>
      <rPr>
        <sz val="10"/>
        <rFont val="Arial"/>
        <family val="2"/>
      </rPr>
      <t>maj</t>
    </r>
  </si>
  <si>
    <r>
      <t>e</t>
    </r>
    <r>
      <rPr>
        <sz val="10"/>
        <rFont val="Arial"/>
        <family val="2"/>
      </rPr>
      <t>minor</t>
    </r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</si>
  <si>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</si>
  <si>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</si>
  <si>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</si>
  <si>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</si>
  <si>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</si>
  <si>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</si>
  <si>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</si>
  <si>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</si>
  <si>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</si>
  <si>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</si>
  <si>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</si>
  <si>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</si>
  <si>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ness</t>
  </si>
  <si>
    <t>if &gt; 1</t>
  </si>
  <si>
    <t>kN</t>
  </si>
  <si>
    <t>kNm</t>
  </si>
  <si>
    <t>Short</t>
  </si>
  <si>
    <t>Npl,Rd</t>
  </si>
  <si>
    <t>mm2</t>
  </si>
  <si>
    <t>kNmm^2</t>
  </si>
  <si>
    <t>Shakir-Khalil &amp;</t>
  </si>
  <si>
    <t>Ref. 42</t>
  </si>
  <si>
    <t>*</t>
  </si>
  <si>
    <t>X1</t>
  </si>
  <si>
    <t>X2</t>
  </si>
  <si>
    <t>X3</t>
  </si>
  <si>
    <t>X4</t>
  </si>
  <si>
    <t>Wei &amp; Han</t>
  </si>
  <si>
    <t>Ref. 61</t>
  </si>
  <si>
    <t>Scp1-1</t>
  </si>
  <si>
    <t>Scp1-2</t>
  </si>
  <si>
    <t>Scp1-3</t>
  </si>
  <si>
    <t>Scp1-4</t>
  </si>
  <si>
    <t>Scp1-5</t>
  </si>
  <si>
    <t>Scp1-6</t>
  </si>
  <si>
    <t>Scp2-1</t>
  </si>
  <si>
    <t>Scp2-2</t>
  </si>
  <si>
    <t>Scp2-3</t>
  </si>
  <si>
    <t>Scp2-4</t>
  </si>
  <si>
    <t>Scp2-5</t>
  </si>
  <si>
    <t>Scp3-1</t>
  </si>
  <si>
    <t>Scp3-2</t>
  </si>
  <si>
    <t>Scp3-3</t>
  </si>
  <si>
    <t>Scp4-1</t>
  </si>
  <si>
    <t>Scp4-2</t>
  </si>
  <si>
    <t>Scp4-3</t>
  </si>
  <si>
    <t>Scp4-4</t>
  </si>
  <si>
    <t>Scp5-1</t>
  </si>
  <si>
    <t>Scp5-2</t>
  </si>
  <si>
    <t>Scp5-3</t>
  </si>
  <si>
    <t>Mursi, Uy, Brad</t>
  </si>
  <si>
    <t>Ref. 71</t>
  </si>
  <si>
    <t>estimate</t>
  </si>
  <si>
    <t>SL-C110</t>
  </si>
  <si>
    <t>SL-C160</t>
  </si>
  <si>
    <t>SL-C210</t>
  </si>
  <si>
    <t>SL-C260</t>
  </si>
  <si>
    <t>Han &amp; Yao</t>
  </si>
  <si>
    <t>Ref. 69</t>
  </si>
  <si>
    <t>Ref. 77</t>
  </si>
  <si>
    <t>lssc2-1</t>
  </si>
  <si>
    <t>lssc2-2</t>
  </si>
  <si>
    <t>lsh2-1</t>
  </si>
  <si>
    <t>lsh2-2</t>
  </si>
  <si>
    <t>lsv2</t>
  </si>
  <si>
    <t>compaction: sc=slump, h=hand, v=vibrator</t>
  </si>
  <si>
    <t>test/EC4</t>
  </si>
  <si>
    <t>loc B &gt;1</t>
  </si>
  <si>
    <t>Tot No.</t>
  </si>
  <si>
    <t>No &lt;0.2</t>
  </si>
  <si>
    <t>fcyl&gt;=60</t>
  </si>
  <si>
    <t>loc B &lt;1</t>
  </si>
  <si>
    <t>No. &lt; 1</t>
  </si>
  <si>
    <t>No &gt;0.9</t>
  </si>
  <si>
    <t>% &lt; 1</t>
  </si>
  <si>
    <t>2nd order allowing for</t>
  </si>
  <si>
    <t>imperfections</t>
  </si>
  <si>
    <t>using 'k' factor</t>
  </si>
  <si>
    <t>2nd order analysis</t>
  </si>
  <si>
    <t>ECCI = Ecc + L/300</t>
  </si>
  <si>
    <t>From Graph EC4</t>
  </si>
  <si>
    <t>from Graph EC4</t>
  </si>
  <si>
    <r>
      <t xml:space="preserve">M </t>
    </r>
    <r>
      <rPr>
        <sz val="10"/>
        <rFont val="Arial"/>
        <family val="2"/>
      </rPr>
      <t>(Nxe)</t>
    </r>
  </si>
  <si>
    <t>M</t>
  </si>
  <si>
    <t>Test N</t>
  </si>
  <si>
    <t>EC4 N</t>
  </si>
  <si>
    <t xml:space="preserve">Av (15)= </t>
  </si>
  <si>
    <t>Av (15) =</t>
  </si>
  <si>
    <t>StDev =</t>
  </si>
  <si>
    <t>St Dev =</t>
  </si>
  <si>
    <t>Av (21)=</t>
  </si>
  <si>
    <t>Av (21) =</t>
  </si>
  <si>
    <t>St Dev=</t>
  </si>
  <si>
    <t>Av (4) =</t>
  </si>
  <si>
    <t>Av (6) =</t>
  </si>
  <si>
    <t>St Dev</t>
  </si>
  <si>
    <t>Av (5) =</t>
  </si>
  <si>
    <t xml:space="preserve">OA </t>
  </si>
  <si>
    <t>Av (51) =</t>
  </si>
  <si>
    <t>No &lt; 1</t>
  </si>
  <si>
    <t>Av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</si>
</sst>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horizontal="center"/>
    </xf>
    <xf numFmtId="9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 Long  Rectangular CFST  Columns  with  Moment.   Tests compared with EC4</a:t>
            </a:r>
          </a:p>
        </c:rich>
      </c:tx>
      <c:layout>
        <c:manualLayout>
          <c:xMode val="edge"/>
          <c:yMode val="edge"/>
          <c:x val="0.19422863485016648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790233074361818E-2"/>
          <c:y val="0.10277324632952692"/>
          <c:w val="0.84683684794672587"/>
          <c:h val="0.78792822185970635"/>
        </c:manualLayout>
      </c:layout>
      <c:scatterChart>
        <c:scatterStyle val="lineMarker"/>
        <c:varyColors val="0"/>
        <c:ser>
          <c:idx val="0"/>
          <c:order val="0"/>
          <c:tx>
            <c:v> Shakir-Khalil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Summary!$R$8:$R$22</c:f>
              <c:numCache>
                <c:formatCode>General</c:formatCode>
                <c:ptCount val="15"/>
                <c:pt idx="0">
                  <c:v>907</c:v>
                </c:pt>
                <c:pt idx="1">
                  <c:v>781</c:v>
                </c:pt>
                <c:pt idx="2">
                  <c:v>519</c:v>
                </c:pt>
                <c:pt idx="3">
                  <c:v>373</c:v>
                </c:pt>
                <c:pt idx="4">
                  <c:v>685</c:v>
                </c:pt>
                <c:pt idx="5">
                  <c:v>590</c:v>
                </c:pt>
                <c:pt idx="6">
                  <c:v>402</c:v>
                </c:pt>
                <c:pt idx="7">
                  <c:v>306</c:v>
                </c:pt>
                <c:pt idx="8">
                  <c:v>523</c:v>
                </c:pt>
                <c:pt idx="9">
                  <c:v>440</c:v>
                </c:pt>
                <c:pt idx="10">
                  <c:v>321</c:v>
                </c:pt>
                <c:pt idx="11">
                  <c:v>251</c:v>
                </c:pt>
                <c:pt idx="12">
                  <c:v>401</c:v>
                </c:pt>
                <c:pt idx="13">
                  <c:v>278</c:v>
                </c:pt>
                <c:pt idx="14">
                  <c:v>207</c:v>
                </c:pt>
              </c:numCache>
            </c:numRef>
          </c:xVal>
          <c:yVal>
            <c:numRef>
              <c:f>Summary!$P$8:$P$22</c:f>
              <c:numCache>
                <c:formatCode>General</c:formatCode>
                <c:ptCount val="15"/>
                <c:pt idx="0">
                  <c:v>882</c:v>
                </c:pt>
                <c:pt idx="1">
                  <c:v>670</c:v>
                </c:pt>
                <c:pt idx="2">
                  <c:v>470</c:v>
                </c:pt>
                <c:pt idx="3">
                  <c:v>339</c:v>
                </c:pt>
                <c:pt idx="4">
                  <c:v>667</c:v>
                </c:pt>
                <c:pt idx="5">
                  <c:v>650</c:v>
                </c:pt>
                <c:pt idx="6">
                  <c:v>443</c:v>
                </c:pt>
                <c:pt idx="7">
                  <c:v>344</c:v>
                </c:pt>
                <c:pt idx="8">
                  <c:v>536</c:v>
                </c:pt>
                <c:pt idx="9">
                  <c:v>558</c:v>
                </c:pt>
                <c:pt idx="10">
                  <c:v>356</c:v>
                </c:pt>
                <c:pt idx="11">
                  <c:v>293</c:v>
                </c:pt>
                <c:pt idx="12">
                  <c:v>402</c:v>
                </c:pt>
                <c:pt idx="13">
                  <c:v>349</c:v>
                </c:pt>
                <c:pt idx="14">
                  <c:v>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3D-47B4-A93F-2C03D00F3B59}"/>
            </c:ext>
          </c:extLst>
        </c:ser>
        <c:ser>
          <c:idx val="1"/>
          <c:order val="1"/>
          <c:tx>
            <c:v> Wei &amp; Han (21)</c:v>
          </c:tx>
          <c:spPr>
            <a:ln w="19050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Summary!$R$25:$R$45</c:f>
              <c:numCache>
                <c:formatCode>0</c:formatCode>
                <c:ptCount val="21"/>
                <c:pt idx="0">
                  <c:v>471</c:v>
                </c:pt>
                <c:pt idx="1">
                  <c:v>375</c:v>
                </c:pt>
                <c:pt idx="2">
                  <c:v>344</c:v>
                </c:pt>
                <c:pt idx="3">
                  <c:v>302</c:v>
                </c:pt>
                <c:pt idx="4">
                  <c:v>345</c:v>
                </c:pt>
                <c:pt idx="5">
                  <c:v>324</c:v>
                </c:pt>
                <c:pt idx="6">
                  <c:v>664</c:v>
                </c:pt>
                <c:pt idx="7">
                  <c:v>485</c:v>
                </c:pt>
                <c:pt idx="8">
                  <c:v>388</c:v>
                </c:pt>
                <c:pt idx="9">
                  <c:v>494</c:v>
                </c:pt>
                <c:pt idx="10">
                  <c:v>426</c:v>
                </c:pt>
                <c:pt idx="11">
                  <c:v>627</c:v>
                </c:pt>
                <c:pt idx="12">
                  <c:v>513</c:v>
                </c:pt>
                <c:pt idx="13">
                  <c:v>401</c:v>
                </c:pt>
                <c:pt idx="14">
                  <c:v>845</c:v>
                </c:pt>
                <c:pt idx="15">
                  <c:v>691</c:v>
                </c:pt>
                <c:pt idx="16">
                  <c:v>612</c:v>
                </c:pt>
                <c:pt idx="17">
                  <c:v>498</c:v>
                </c:pt>
                <c:pt idx="18">
                  <c:v>1477</c:v>
                </c:pt>
                <c:pt idx="19">
                  <c:v>1182</c:v>
                </c:pt>
                <c:pt idx="20">
                  <c:v>1082</c:v>
                </c:pt>
              </c:numCache>
            </c:numRef>
          </c:xVal>
          <c:yVal>
            <c:numRef>
              <c:f>Summary!$P$25:$P$45</c:f>
              <c:numCache>
                <c:formatCode>General</c:formatCode>
                <c:ptCount val="21"/>
                <c:pt idx="0">
                  <c:v>588</c:v>
                </c:pt>
                <c:pt idx="1">
                  <c:v>450.8</c:v>
                </c:pt>
                <c:pt idx="2">
                  <c:v>421.4</c:v>
                </c:pt>
                <c:pt idx="3">
                  <c:v>333.2</c:v>
                </c:pt>
                <c:pt idx="4">
                  <c:v>417.5</c:v>
                </c:pt>
                <c:pt idx="5">
                  <c:v>423.4</c:v>
                </c:pt>
                <c:pt idx="6">
                  <c:v>833</c:v>
                </c:pt>
                <c:pt idx="7">
                  <c:v>615.4</c:v>
                </c:pt>
                <c:pt idx="8">
                  <c:v>509.6</c:v>
                </c:pt>
                <c:pt idx="9">
                  <c:v>558.6</c:v>
                </c:pt>
                <c:pt idx="10">
                  <c:v>539</c:v>
                </c:pt>
                <c:pt idx="11">
                  <c:v>754.6</c:v>
                </c:pt>
                <c:pt idx="12">
                  <c:v>548.79999999999995</c:v>
                </c:pt>
                <c:pt idx="13">
                  <c:v>510.6</c:v>
                </c:pt>
                <c:pt idx="14">
                  <c:v>1014.3</c:v>
                </c:pt>
                <c:pt idx="15">
                  <c:v>803.6</c:v>
                </c:pt>
                <c:pt idx="16">
                  <c:v>735</c:v>
                </c:pt>
                <c:pt idx="17">
                  <c:v>555.70000000000005</c:v>
                </c:pt>
                <c:pt idx="18">
                  <c:v>1793.4</c:v>
                </c:pt>
                <c:pt idx="19">
                  <c:v>1425.9</c:v>
                </c:pt>
                <c:pt idx="20">
                  <c:v>1200.5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3D-47B4-A93F-2C03D00F3B59}"/>
            </c:ext>
          </c:extLst>
        </c:ser>
        <c:ser>
          <c:idx val="2"/>
          <c:order val="2"/>
          <c:tx>
            <c:v> Mursi (4)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Summary!$R$49:$R$52</c:f>
              <c:numCache>
                <c:formatCode>0</c:formatCode>
                <c:ptCount val="4"/>
                <c:pt idx="0">
                  <c:v>811</c:v>
                </c:pt>
                <c:pt idx="1">
                  <c:v>1763</c:v>
                </c:pt>
                <c:pt idx="2">
                  <c:v>2812</c:v>
                </c:pt>
                <c:pt idx="3">
                  <c:v>3860</c:v>
                </c:pt>
              </c:numCache>
            </c:numRef>
          </c:xVal>
          <c:yVal>
            <c:numRef>
              <c:f>Summary!$P$49:$P$52</c:f>
              <c:numCache>
                <c:formatCode>General</c:formatCode>
                <c:ptCount val="4"/>
                <c:pt idx="0">
                  <c:v>1481</c:v>
                </c:pt>
                <c:pt idx="1">
                  <c:v>2126</c:v>
                </c:pt>
                <c:pt idx="2">
                  <c:v>2939</c:v>
                </c:pt>
                <c:pt idx="3">
                  <c:v>3062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33D-47B4-A93F-2C03D00F3B59}"/>
            </c:ext>
          </c:extLst>
        </c:ser>
        <c:ser>
          <c:idx val="3"/>
          <c:order val="3"/>
          <c:tx>
            <c:v> Han &amp; Yao '03 (6)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Summary!$R$55:$R$60</c:f>
              <c:numCache>
                <c:formatCode>General</c:formatCode>
                <c:ptCount val="6"/>
                <c:pt idx="0" formatCode="0">
                  <c:v>872</c:v>
                </c:pt>
                <c:pt idx="1">
                  <c:v>872</c:v>
                </c:pt>
                <c:pt idx="2">
                  <c:v>744</c:v>
                </c:pt>
                <c:pt idx="3">
                  <c:v>744</c:v>
                </c:pt>
                <c:pt idx="4">
                  <c:v>788</c:v>
                </c:pt>
                <c:pt idx="5">
                  <c:v>788</c:v>
                </c:pt>
              </c:numCache>
            </c:numRef>
          </c:xVal>
          <c:yVal>
            <c:numRef>
              <c:f>Summary!$P$55:$P$60</c:f>
              <c:numCache>
                <c:formatCode>General</c:formatCode>
                <c:ptCount val="6"/>
                <c:pt idx="0">
                  <c:v>872</c:v>
                </c:pt>
                <c:pt idx="1">
                  <c:v>812</c:v>
                </c:pt>
                <c:pt idx="2">
                  <c:v>646</c:v>
                </c:pt>
                <c:pt idx="3">
                  <c:v>610</c:v>
                </c:pt>
                <c:pt idx="4">
                  <c:v>670</c:v>
                </c:pt>
                <c:pt idx="5">
                  <c:v>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33D-47B4-A93F-2C03D00F3B59}"/>
            </c:ext>
          </c:extLst>
        </c:ser>
        <c:ser>
          <c:idx val="4"/>
          <c:order val="4"/>
          <c:tx>
            <c:v> Han &amp; Yao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Summary!$R$63:$R$67</c:f>
              <c:numCache>
                <c:formatCode>General</c:formatCode>
                <c:ptCount val="5"/>
                <c:pt idx="0">
                  <c:v>1552</c:v>
                </c:pt>
                <c:pt idx="1">
                  <c:v>1552</c:v>
                </c:pt>
                <c:pt idx="2">
                  <c:v>1552</c:v>
                </c:pt>
                <c:pt idx="3">
                  <c:v>1552</c:v>
                </c:pt>
                <c:pt idx="4">
                  <c:v>1552</c:v>
                </c:pt>
              </c:numCache>
            </c:numRef>
          </c:xVal>
          <c:yVal>
            <c:numRef>
              <c:f>Summary!$P$63:$P$67</c:f>
              <c:numCache>
                <c:formatCode>General</c:formatCode>
                <c:ptCount val="5"/>
                <c:pt idx="0">
                  <c:v>1450</c:v>
                </c:pt>
                <c:pt idx="1">
                  <c:v>1415</c:v>
                </c:pt>
                <c:pt idx="2">
                  <c:v>1502</c:v>
                </c:pt>
                <c:pt idx="3">
                  <c:v>1535</c:v>
                </c:pt>
                <c:pt idx="4">
                  <c:v>1620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33D-47B4-A93F-2C03D00F3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252560"/>
        <c:axId val="1"/>
      </c:scatterChart>
      <c:valAx>
        <c:axId val="1339252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061043285238622"/>
              <c:y val="0.94290375203915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07830342577487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9252560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583795782463924"/>
          <c:y val="0.65089722675367045"/>
          <c:w val="0.18756936736958935"/>
          <c:h val="0.218597063621533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 Rectangular  CFST  Columns.    Ratio Test/EC4 against  applied  end  Moment</a:t>
            </a:r>
          </a:p>
        </c:rich>
      </c:tx>
      <c:layout>
        <c:manualLayout>
          <c:xMode val="edge"/>
          <c:yMode val="edge"/>
          <c:x val="0.16959669079627715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0.10508474576271186"/>
          <c:w val="0.87797311271975176"/>
          <c:h val="0.78135593220338984"/>
        </c:manualLayout>
      </c:layout>
      <c:scatterChart>
        <c:scatterStyle val="lineMarker"/>
        <c:varyColors val="0"/>
        <c:ser>
          <c:idx val="0"/>
          <c:order val="0"/>
          <c:tx>
            <c:v>  Shakir-K Major axis bending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Data!$Q$8:$Q$19</c:f>
              <c:numCache>
                <c:formatCode>0.00</c:formatCode>
                <c:ptCount val="12"/>
                <c:pt idx="0">
                  <c:v>5.2919999999999998</c:v>
                </c:pt>
                <c:pt idx="1">
                  <c:v>10.050000000000001</c:v>
                </c:pt>
                <c:pt idx="2">
                  <c:v>21.15</c:v>
                </c:pt>
                <c:pt idx="3">
                  <c:v>25.425000000000001</c:v>
                </c:pt>
                <c:pt idx="4">
                  <c:v>4.0019999999999998</c:v>
                </c:pt>
                <c:pt idx="5">
                  <c:v>9.75</c:v>
                </c:pt>
                <c:pt idx="6">
                  <c:v>19.934999999999999</c:v>
                </c:pt>
                <c:pt idx="7">
                  <c:v>25.8</c:v>
                </c:pt>
                <c:pt idx="8">
                  <c:v>3.2160000000000002</c:v>
                </c:pt>
                <c:pt idx="9">
                  <c:v>8.3699999999999992</c:v>
                </c:pt>
                <c:pt idx="10">
                  <c:v>16.02</c:v>
                </c:pt>
                <c:pt idx="11">
                  <c:v>21.975000000000001</c:v>
                </c:pt>
              </c:numCache>
            </c:numRef>
          </c:xVal>
          <c:yVal>
            <c:numRef>
              <c:f>Summary!$T$8:$T$19</c:f>
              <c:numCache>
                <c:formatCode>0.00</c:formatCode>
                <c:ptCount val="12"/>
                <c:pt idx="0">
                  <c:v>0.97243660418963618</c:v>
                </c:pt>
                <c:pt idx="1">
                  <c:v>0.85787451984635088</c:v>
                </c:pt>
                <c:pt idx="2">
                  <c:v>0.90558766859344897</c:v>
                </c:pt>
                <c:pt idx="3">
                  <c:v>0.90884718498659522</c:v>
                </c:pt>
                <c:pt idx="4">
                  <c:v>0.97372262773722629</c:v>
                </c:pt>
                <c:pt idx="5">
                  <c:v>1.1016949152542372</c:v>
                </c:pt>
                <c:pt idx="6">
                  <c:v>1.1019900497512438</c:v>
                </c:pt>
                <c:pt idx="7">
                  <c:v>1.1241830065359477</c:v>
                </c:pt>
                <c:pt idx="8">
                  <c:v>1.0248565965583174</c:v>
                </c:pt>
                <c:pt idx="9">
                  <c:v>1.2681818181818181</c:v>
                </c:pt>
                <c:pt idx="10">
                  <c:v>1.1090342679127725</c:v>
                </c:pt>
                <c:pt idx="11">
                  <c:v>1.1673306772908367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89-441B-9255-942175D71B33}"/>
            </c:ext>
          </c:extLst>
        </c:ser>
        <c:ser>
          <c:idx val="1"/>
          <c:order val="1"/>
          <c:tx>
            <c:v> Shakir-K Minor axis bending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Data!$Q$20:$Q$22</c:f>
              <c:numCache>
                <c:formatCode>0.00</c:formatCode>
                <c:ptCount val="3"/>
                <c:pt idx="0">
                  <c:v>12.06</c:v>
                </c:pt>
                <c:pt idx="1">
                  <c:v>10.47</c:v>
                </c:pt>
                <c:pt idx="2">
                  <c:v>8.19</c:v>
                </c:pt>
              </c:numCache>
            </c:numRef>
          </c:xVal>
          <c:yVal>
            <c:numRef>
              <c:f>Summary!$T$20:$T$22</c:f>
              <c:numCache>
                <c:formatCode>0.00</c:formatCode>
                <c:ptCount val="3"/>
                <c:pt idx="0">
                  <c:v>1.0024937655860349</c:v>
                </c:pt>
                <c:pt idx="1">
                  <c:v>1.2553956834532374</c:v>
                </c:pt>
                <c:pt idx="2">
                  <c:v>1.318840579710145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89-441B-9255-942175D71B33}"/>
            </c:ext>
          </c:extLst>
        </c:ser>
        <c:ser>
          <c:idx val="2"/>
          <c:order val="2"/>
          <c:tx>
            <c:v> Wei (square)</c:v>
          </c:tx>
          <c:spPr>
            <a:ln w="19050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Data!$Q$25:$Q$45</c:f>
              <c:numCache>
                <c:formatCode>0.00</c:formatCode>
                <c:ptCount val="21"/>
                <c:pt idx="0">
                  <c:v>8.82</c:v>
                </c:pt>
                <c:pt idx="1">
                  <c:v>13.523999999999999</c:v>
                </c:pt>
                <c:pt idx="2">
                  <c:v>16.856000000000002</c:v>
                </c:pt>
                <c:pt idx="3">
                  <c:v>16.66</c:v>
                </c:pt>
                <c:pt idx="4">
                  <c:v>16.7</c:v>
                </c:pt>
                <c:pt idx="5">
                  <c:v>21.17</c:v>
                </c:pt>
                <c:pt idx="6">
                  <c:v>12.494999999999999</c:v>
                </c:pt>
                <c:pt idx="7">
                  <c:v>24.616</c:v>
                </c:pt>
                <c:pt idx="8">
                  <c:v>30.576000000000001</c:v>
                </c:pt>
                <c:pt idx="9">
                  <c:v>22.344000000000001</c:v>
                </c:pt>
                <c:pt idx="10">
                  <c:v>32.340000000000003</c:v>
                </c:pt>
                <c:pt idx="11">
                  <c:v>11.319000000000001</c:v>
                </c:pt>
                <c:pt idx="12">
                  <c:v>16.463999999999999</c:v>
                </c:pt>
                <c:pt idx="13">
                  <c:v>25.53</c:v>
                </c:pt>
                <c:pt idx="14">
                  <c:v>15.214499999999999</c:v>
                </c:pt>
                <c:pt idx="15">
                  <c:v>24.108000000000001</c:v>
                </c:pt>
                <c:pt idx="16">
                  <c:v>29.4</c:v>
                </c:pt>
                <c:pt idx="17">
                  <c:v>33.341999999999999</c:v>
                </c:pt>
                <c:pt idx="18">
                  <c:v>53.802</c:v>
                </c:pt>
                <c:pt idx="19">
                  <c:v>71.295000000000002</c:v>
                </c:pt>
                <c:pt idx="20">
                  <c:v>96.04</c:v>
                </c:pt>
              </c:numCache>
            </c:numRef>
          </c:xVal>
          <c:yVal>
            <c:numRef>
              <c:f>Summary!$T$25:$T$45</c:f>
              <c:numCache>
                <c:formatCode>0.00</c:formatCode>
                <c:ptCount val="21"/>
                <c:pt idx="0">
                  <c:v>1.2484076433121019</c:v>
                </c:pt>
                <c:pt idx="1">
                  <c:v>1.2021333333333333</c:v>
                </c:pt>
                <c:pt idx="2">
                  <c:v>1.2249999999999999</c:v>
                </c:pt>
                <c:pt idx="3">
                  <c:v>1.1033112582781457</c:v>
                </c:pt>
                <c:pt idx="4">
                  <c:v>1.2101449275362319</c:v>
                </c:pt>
                <c:pt idx="5">
                  <c:v>1.30679012345679</c:v>
                </c:pt>
                <c:pt idx="6">
                  <c:v>1.2545180722891567</c:v>
                </c:pt>
                <c:pt idx="7">
                  <c:v>1.2688659793814432</c:v>
                </c:pt>
                <c:pt idx="8">
                  <c:v>1.3134020618556701</c:v>
                </c:pt>
                <c:pt idx="9">
                  <c:v>1.1307692307692307</c:v>
                </c:pt>
                <c:pt idx="10">
                  <c:v>1.2652582159624413</c:v>
                </c:pt>
                <c:pt idx="11">
                  <c:v>1.2035087719298245</c:v>
                </c:pt>
                <c:pt idx="12">
                  <c:v>1.0697855750487328</c:v>
                </c:pt>
                <c:pt idx="13">
                  <c:v>1.2733167082294266</c:v>
                </c:pt>
                <c:pt idx="14">
                  <c:v>1.2003550295857988</c:v>
                </c:pt>
                <c:pt idx="15">
                  <c:v>1.1629522431259045</c:v>
                </c:pt>
                <c:pt idx="16">
                  <c:v>1.2009803921568627</c:v>
                </c:pt>
                <c:pt idx="17">
                  <c:v>1.1158634538152612</c:v>
                </c:pt>
                <c:pt idx="18">
                  <c:v>1.214218009478673</c:v>
                </c:pt>
                <c:pt idx="19">
                  <c:v>1.2063451776649747</c:v>
                </c:pt>
                <c:pt idx="20">
                  <c:v>1.1095194085027726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89-441B-9255-942175D71B33}"/>
            </c:ext>
          </c:extLst>
        </c:ser>
        <c:ser>
          <c:idx val="3"/>
          <c:order val="3"/>
          <c:tx>
            <c:v> Mursi (square)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Data!$Q$48:$Q$51</c:f>
              <c:numCache>
                <c:formatCode>0.00</c:formatCode>
                <c:ptCount val="4"/>
                <c:pt idx="0">
                  <c:v>11.848000000000001</c:v>
                </c:pt>
                <c:pt idx="1">
                  <c:v>31.89</c:v>
                </c:pt>
                <c:pt idx="2">
                  <c:v>52.902000000000001</c:v>
                </c:pt>
                <c:pt idx="3">
                  <c:v>70.426000000000002</c:v>
                </c:pt>
              </c:numCache>
            </c:numRef>
          </c:xVal>
          <c:yVal>
            <c:numRef>
              <c:f>Data!$V$48:$V$51</c:f>
              <c:numCache>
                <c:formatCode>0.00</c:formatCode>
                <c:ptCount val="4"/>
                <c:pt idx="0">
                  <c:v>1.8261405672009865</c:v>
                </c:pt>
                <c:pt idx="1">
                  <c:v>1.2058990357345434</c:v>
                </c:pt>
                <c:pt idx="2">
                  <c:v>1.0451635846372689</c:v>
                </c:pt>
                <c:pt idx="3">
                  <c:v>0.79326424870466317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89-441B-9255-942175D71B33}"/>
            </c:ext>
          </c:extLst>
        </c:ser>
        <c:ser>
          <c:idx val="4"/>
          <c:order val="4"/>
          <c:tx>
            <c:v> Han '03 Major axis bending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Data!$Q$54:$Q$59</c:f>
              <c:numCache>
                <c:formatCode>0.00</c:formatCode>
                <c:ptCount val="6"/>
                <c:pt idx="0">
                  <c:v>12.208</c:v>
                </c:pt>
                <c:pt idx="1">
                  <c:v>11.368</c:v>
                </c:pt>
                <c:pt idx="2">
                  <c:v>20.026</c:v>
                </c:pt>
                <c:pt idx="3">
                  <c:v>18.91</c:v>
                </c:pt>
                <c:pt idx="4">
                  <c:v>9.3800000000000008</c:v>
                </c:pt>
                <c:pt idx="5">
                  <c:v>8.89</c:v>
                </c:pt>
              </c:numCache>
            </c:numRef>
          </c:xVal>
          <c:yVal>
            <c:numRef>
              <c:f>Summary!$T$55:$T$60</c:f>
              <c:numCache>
                <c:formatCode>0.00</c:formatCode>
                <c:ptCount val="6"/>
                <c:pt idx="0">
                  <c:v>1</c:v>
                </c:pt>
                <c:pt idx="1">
                  <c:v>0.93119266055045868</c:v>
                </c:pt>
                <c:pt idx="2">
                  <c:v>0.86827956989247312</c:v>
                </c:pt>
                <c:pt idx="3">
                  <c:v>0.81989247311827962</c:v>
                </c:pt>
                <c:pt idx="4">
                  <c:v>0.85025380710659904</c:v>
                </c:pt>
                <c:pt idx="5">
                  <c:v>0.8058375634517766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89-441B-9255-942175D71B33}"/>
            </c:ext>
          </c:extLst>
        </c:ser>
        <c:ser>
          <c:idx val="5"/>
          <c:order val="5"/>
          <c:tx>
            <c:v> Han &amp; Yao '04 (square)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Summary!$Q$63:$Q$67</c:f>
              <c:numCache>
                <c:formatCode>0.00</c:formatCode>
                <c:ptCount val="5"/>
                <c:pt idx="0">
                  <c:v>43.5</c:v>
                </c:pt>
                <c:pt idx="1">
                  <c:v>42.45</c:v>
                </c:pt>
                <c:pt idx="2">
                  <c:v>45.06</c:v>
                </c:pt>
                <c:pt idx="3">
                  <c:v>46.05</c:v>
                </c:pt>
                <c:pt idx="4">
                  <c:v>48.6</c:v>
                </c:pt>
              </c:numCache>
            </c:numRef>
          </c:xVal>
          <c:yVal>
            <c:numRef>
              <c:f>Summary!$T$63:$T$67</c:f>
              <c:numCache>
                <c:formatCode>0.00</c:formatCode>
                <c:ptCount val="5"/>
                <c:pt idx="0">
                  <c:v>0.93427835051546393</c:v>
                </c:pt>
                <c:pt idx="1">
                  <c:v>0.91172680412371132</c:v>
                </c:pt>
                <c:pt idx="2">
                  <c:v>0.96778350515463918</c:v>
                </c:pt>
                <c:pt idx="3">
                  <c:v>0.98904639175257736</c:v>
                </c:pt>
                <c:pt idx="4">
                  <c:v>1.0438144329896908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89-441B-9255-942175D71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626768"/>
        <c:axId val="1"/>
      </c:scatterChart>
      <c:valAx>
        <c:axId val="1340626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End Moment at failure  kNm</a:t>
                </a:r>
              </a:p>
            </c:rich>
          </c:tx>
          <c:layout>
            <c:manualLayout>
              <c:xMode val="edge"/>
              <c:yMode val="edge"/>
              <c:x val="0.40641158221302998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.7"/>
        <c:crossBetween val="midCat"/>
        <c:majorUnit val="10"/>
      </c:valAx>
      <c:valAx>
        <c:axId val="1"/>
        <c:scaling>
          <c:orientation val="minMax"/>
          <c:max val="1.9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03389830508474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626768"/>
        <c:crosses val="autoZero"/>
        <c:crossBetween val="midCat"/>
        <c:majorUnit val="0.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048603929679422"/>
          <c:y val="0.14745762711864407"/>
          <c:w val="0.26473629782833508"/>
          <c:h val="0.211864406779661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Rectangular CFST Columns, with Moment.    Ratio Test/EC4 v Concrete Cylinder Strength</a:t>
            </a:r>
          </a:p>
        </c:rich>
      </c:tx>
      <c:layout>
        <c:manualLayout>
          <c:xMode val="edge"/>
          <c:yMode val="edge"/>
          <c:x val="0.12409513960703206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218200620475704E-2"/>
          <c:y val="0.11355932203389831"/>
          <c:w val="0.86142709410548091"/>
          <c:h val="0.66440677966101691"/>
        </c:manualLayout>
      </c:layout>
      <c:scatterChart>
        <c:scatterStyle val="lineMarker"/>
        <c:varyColors val="0"/>
        <c:ser>
          <c:idx val="0"/>
          <c:order val="0"/>
          <c:tx>
            <c:v> Shakir-Khalil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Data!$H$8:$H$22</c:f>
              <c:numCache>
                <c:formatCode>General</c:formatCode>
                <c:ptCount val="15"/>
                <c:pt idx="0">
                  <c:v>36.080000000000005</c:v>
                </c:pt>
                <c:pt idx="1">
                  <c:v>37.760000000000005</c:v>
                </c:pt>
                <c:pt idx="2">
                  <c:v>38.480000000000004</c:v>
                </c:pt>
                <c:pt idx="3">
                  <c:v>37.92</c:v>
                </c:pt>
                <c:pt idx="4">
                  <c:v>37.6</c:v>
                </c:pt>
                <c:pt idx="5">
                  <c:v>38.160000000000004</c:v>
                </c:pt>
                <c:pt idx="6">
                  <c:v>38.64</c:v>
                </c:pt>
                <c:pt idx="7">
                  <c:v>38.56</c:v>
                </c:pt>
                <c:pt idx="8">
                  <c:v>36.56</c:v>
                </c:pt>
                <c:pt idx="9">
                  <c:v>37.04</c:v>
                </c:pt>
                <c:pt idx="10">
                  <c:v>37.839999999999996</c:v>
                </c:pt>
                <c:pt idx="11">
                  <c:v>38</c:v>
                </c:pt>
                <c:pt idx="12">
                  <c:v>41.2</c:v>
                </c:pt>
                <c:pt idx="13">
                  <c:v>36.56</c:v>
                </c:pt>
                <c:pt idx="14">
                  <c:v>37.760000000000005</c:v>
                </c:pt>
              </c:numCache>
            </c:numRef>
          </c:xVal>
          <c:yVal>
            <c:numRef>
              <c:f>Summary!$T$8:$T$22</c:f>
              <c:numCache>
                <c:formatCode>0.00</c:formatCode>
                <c:ptCount val="15"/>
                <c:pt idx="0">
                  <c:v>0.97243660418963618</c:v>
                </c:pt>
                <c:pt idx="1">
                  <c:v>0.85787451984635088</c:v>
                </c:pt>
                <c:pt idx="2">
                  <c:v>0.90558766859344897</c:v>
                </c:pt>
                <c:pt idx="3">
                  <c:v>0.90884718498659522</c:v>
                </c:pt>
                <c:pt idx="4">
                  <c:v>0.97372262773722629</c:v>
                </c:pt>
                <c:pt idx="5">
                  <c:v>1.1016949152542372</c:v>
                </c:pt>
                <c:pt idx="6">
                  <c:v>1.1019900497512438</c:v>
                </c:pt>
                <c:pt idx="7">
                  <c:v>1.1241830065359477</c:v>
                </c:pt>
                <c:pt idx="8">
                  <c:v>1.0248565965583174</c:v>
                </c:pt>
                <c:pt idx="9">
                  <c:v>1.2681818181818181</c:v>
                </c:pt>
                <c:pt idx="10">
                  <c:v>1.1090342679127725</c:v>
                </c:pt>
                <c:pt idx="11">
                  <c:v>1.1673306772908367</c:v>
                </c:pt>
                <c:pt idx="12">
                  <c:v>1.0024937655860349</c:v>
                </c:pt>
                <c:pt idx="13">
                  <c:v>1.2553956834532374</c:v>
                </c:pt>
                <c:pt idx="14">
                  <c:v>1.318840579710145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B4-4FAC-A205-8B53A67E3D24}"/>
            </c:ext>
          </c:extLst>
        </c:ser>
        <c:ser>
          <c:idx val="1"/>
          <c:order val="1"/>
          <c:tx>
            <c:v> Wei &amp; Han (21)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Summary!$H$25:$H$45</c:f>
              <c:numCache>
                <c:formatCode>0.00</c:formatCode>
                <c:ptCount val="21"/>
                <c:pt idx="0">
                  <c:v>15.144</c:v>
                </c:pt>
                <c:pt idx="1">
                  <c:v>15.144</c:v>
                </c:pt>
                <c:pt idx="2">
                  <c:v>20.368000000000002</c:v>
                </c:pt>
                <c:pt idx="3">
                  <c:v>15.144</c:v>
                </c:pt>
                <c:pt idx="4">
                  <c:v>20.368000000000002</c:v>
                </c:pt>
                <c:pt idx="5">
                  <c:v>29.28</c:v>
                </c:pt>
                <c:pt idx="6">
                  <c:v>18.84</c:v>
                </c:pt>
                <c:pt idx="7">
                  <c:v>18.84</c:v>
                </c:pt>
                <c:pt idx="8">
                  <c:v>18.84</c:v>
                </c:pt>
                <c:pt idx="9">
                  <c:v>20.368000000000002</c:v>
                </c:pt>
                <c:pt idx="10">
                  <c:v>29.28</c:v>
                </c:pt>
                <c:pt idx="11">
                  <c:v>18.84</c:v>
                </c:pt>
                <c:pt idx="12">
                  <c:v>18.84</c:v>
                </c:pt>
                <c:pt idx="13">
                  <c:v>18.84</c:v>
                </c:pt>
                <c:pt idx="14">
                  <c:v>15.375999999999999</c:v>
                </c:pt>
                <c:pt idx="15">
                  <c:v>15.375999999999999</c:v>
                </c:pt>
                <c:pt idx="16">
                  <c:v>15.008000000000003</c:v>
                </c:pt>
                <c:pt idx="17">
                  <c:v>15.008000000000003</c:v>
                </c:pt>
                <c:pt idx="18">
                  <c:v>21.416</c:v>
                </c:pt>
                <c:pt idx="19">
                  <c:v>18.231999999999999</c:v>
                </c:pt>
                <c:pt idx="20">
                  <c:v>21.416</c:v>
                </c:pt>
              </c:numCache>
            </c:numRef>
          </c:xVal>
          <c:yVal>
            <c:numRef>
              <c:f>Data!$V$25:$V$45</c:f>
              <c:numCache>
                <c:formatCode>0.00</c:formatCode>
                <c:ptCount val="21"/>
                <c:pt idx="0">
                  <c:v>1.2484076433121019</c:v>
                </c:pt>
                <c:pt idx="1">
                  <c:v>1.2021333333333333</c:v>
                </c:pt>
                <c:pt idx="2">
                  <c:v>1.2249999999999999</c:v>
                </c:pt>
                <c:pt idx="3">
                  <c:v>1.1033112582781457</c:v>
                </c:pt>
                <c:pt idx="4">
                  <c:v>1.2101449275362319</c:v>
                </c:pt>
                <c:pt idx="5">
                  <c:v>1.30679012345679</c:v>
                </c:pt>
                <c:pt idx="6">
                  <c:v>1.2545180722891567</c:v>
                </c:pt>
                <c:pt idx="7">
                  <c:v>1.2688659793814432</c:v>
                </c:pt>
                <c:pt idx="8">
                  <c:v>1.3134020618556701</c:v>
                </c:pt>
                <c:pt idx="9">
                  <c:v>1.1307692307692307</c:v>
                </c:pt>
                <c:pt idx="10">
                  <c:v>1.2652582159624413</c:v>
                </c:pt>
                <c:pt idx="11">
                  <c:v>1.2035087719298245</c:v>
                </c:pt>
                <c:pt idx="12">
                  <c:v>1.0697855750487328</c:v>
                </c:pt>
                <c:pt idx="13">
                  <c:v>1.2733167082294266</c:v>
                </c:pt>
                <c:pt idx="14">
                  <c:v>1.2003550295857988</c:v>
                </c:pt>
                <c:pt idx="15">
                  <c:v>1.1629522431259045</c:v>
                </c:pt>
                <c:pt idx="16">
                  <c:v>1.2009803921568627</c:v>
                </c:pt>
                <c:pt idx="17">
                  <c:v>1.1158634538152612</c:v>
                </c:pt>
                <c:pt idx="18">
                  <c:v>1.214218009478673</c:v>
                </c:pt>
                <c:pt idx="19">
                  <c:v>1.2063451776649747</c:v>
                </c:pt>
                <c:pt idx="20">
                  <c:v>1.1095194085027726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B4-4FAC-A205-8B53A67E3D24}"/>
            </c:ext>
          </c:extLst>
        </c:ser>
        <c:ser>
          <c:idx val="2"/>
          <c:order val="2"/>
          <c:tx>
            <c:v> Mursi (4)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Data!$H$48:$H$51</c:f>
              <c:numCache>
                <c:formatCode>General</c:formatCode>
                <c:ptCount val="4"/>
                <c:pt idx="0">
                  <c:v>20.34</c:v>
                </c:pt>
                <c:pt idx="1">
                  <c:v>20.34</c:v>
                </c:pt>
                <c:pt idx="2">
                  <c:v>20.34</c:v>
                </c:pt>
                <c:pt idx="3">
                  <c:v>20.34</c:v>
                </c:pt>
              </c:numCache>
            </c:numRef>
          </c:xVal>
          <c:yVal>
            <c:numRef>
              <c:f>Data!$V$48:$V$51</c:f>
              <c:numCache>
                <c:formatCode>0.00</c:formatCode>
                <c:ptCount val="4"/>
                <c:pt idx="0">
                  <c:v>1.8261405672009865</c:v>
                </c:pt>
                <c:pt idx="1">
                  <c:v>1.2058990357345434</c:v>
                </c:pt>
                <c:pt idx="2">
                  <c:v>1.0451635846372689</c:v>
                </c:pt>
                <c:pt idx="3">
                  <c:v>0.79326424870466317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B4-4FAC-A205-8B53A67E3D24}"/>
            </c:ext>
          </c:extLst>
        </c:ser>
        <c:ser>
          <c:idx val="3"/>
          <c:order val="3"/>
          <c:tx>
            <c:v> Han '03 (6)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Data!$H$54:$H$59</c:f>
              <c:numCache>
                <c:formatCode>General</c:formatCode>
                <c:ptCount val="6"/>
                <c:pt idx="0">
                  <c:v>18.46</c:v>
                </c:pt>
                <c:pt idx="1">
                  <c:v>18.46</c:v>
                </c:pt>
                <c:pt idx="2">
                  <c:v>18.46</c:v>
                </c:pt>
                <c:pt idx="3">
                  <c:v>18.46</c:v>
                </c:pt>
                <c:pt idx="4">
                  <c:v>18.46</c:v>
                </c:pt>
                <c:pt idx="5">
                  <c:v>18.46</c:v>
                </c:pt>
              </c:numCache>
            </c:numRef>
          </c:xVal>
          <c:yVal>
            <c:numRef>
              <c:f>Data!$V$54:$V$59</c:f>
              <c:numCache>
                <c:formatCode>0.00</c:formatCode>
                <c:ptCount val="6"/>
                <c:pt idx="0">
                  <c:v>1</c:v>
                </c:pt>
                <c:pt idx="1">
                  <c:v>0.93119266055045868</c:v>
                </c:pt>
                <c:pt idx="2">
                  <c:v>0.86827956989247312</c:v>
                </c:pt>
                <c:pt idx="3">
                  <c:v>0.81989247311827962</c:v>
                </c:pt>
                <c:pt idx="4">
                  <c:v>0.85025380710659904</c:v>
                </c:pt>
                <c:pt idx="5">
                  <c:v>0.8058375634517766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B4-4FAC-A205-8B53A67E3D24}"/>
            </c:ext>
          </c:extLst>
        </c:ser>
        <c:ser>
          <c:idx val="4"/>
          <c:order val="4"/>
          <c:tx>
            <c:v> Han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Data!$H$62:$H$66</c:f>
              <c:numCache>
                <c:formatCode>General</c:formatCode>
                <c:ptCount val="5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</c:numCache>
            </c:numRef>
          </c:xVal>
          <c:yVal>
            <c:numRef>
              <c:f>Data!$V$62:$V$66</c:f>
              <c:numCache>
                <c:formatCode>0.00</c:formatCode>
                <c:ptCount val="5"/>
                <c:pt idx="0">
                  <c:v>0.93427835051546393</c:v>
                </c:pt>
                <c:pt idx="1">
                  <c:v>0.91172680412371132</c:v>
                </c:pt>
                <c:pt idx="2">
                  <c:v>0.96778350515463918</c:v>
                </c:pt>
                <c:pt idx="3">
                  <c:v>0.98904639175257736</c:v>
                </c:pt>
                <c:pt idx="4">
                  <c:v>1.0438144329896908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6B4-4FAC-A205-8B53A67E3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624272"/>
        <c:axId val="1"/>
      </c:scatterChart>
      <c:valAx>
        <c:axId val="1340624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 MPa</a:t>
                </a:r>
              </a:p>
            </c:rich>
          </c:tx>
          <c:layout>
            <c:manualLayout>
              <c:xMode val="edge"/>
              <c:yMode val="edge"/>
              <c:x val="0.39917269906928643"/>
              <c:y val="0.828813559322033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.8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4477766287487074E-2"/>
              <c:y val="0.3711864406779660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62427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34436401240951"/>
          <c:y val="0.88983050847457623"/>
          <c:w val="0.70734229576008278"/>
          <c:h val="8.13559322033898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Eurocode 4  Comparison 'k' factor  v  2nd Order Analysis</a:t>
            </a:r>
          </a:p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Rectangular Columns  Test/Analysis ratio  v  Slenderness</a:t>
            </a:r>
          </a:p>
        </c:rich>
      </c:tx>
      <c:layout>
        <c:manualLayout>
          <c:xMode val="edge"/>
          <c:yMode val="edge"/>
          <c:x val="0.24861265260821311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691453940066588E-2"/>
          <c:y val="0.15660685154975529"/>
          <c:w val="0.90011098779134291"/>
          <c:h val="0.72756933115823819"/>
        </c:manualLayout>
      </c:layout>
      <c:scatterChart>
        <c:scatterStyle val="lineMarker"/>
        <c:varyColors val="0"/>
        <c:ser>
          <c:idx val="0"/>
          <c:order val="0"/>
          <c:tx>
            <c:v> kS-K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Summary!$N$8:$N$22</c:f>
              <c:numCache>
                <c:formatCode>0.00</c:formatCode>
                <c:ptCount val="15"/>
                <c:pt idx="0">
                  <c:v>1.0487364451299039</c:v>
                </c:pt>
                <c:pt idx="1">
                  <c:v>1.055124532921069</c:v>
                </c:pt>
                <c:pt idx="2">
                  <c:v>1.0584422842588779</c:v>
                </c:pt>
                <c:pt idx="3">
                  <c:v>1.0522885819991259</c:v>
                </c:pt>
                <c:pt idx="4">
                  <c:v>1.4766908945213992</c:v>
                </c:pt>
                <c:pt idx="5">
                  <c:v>1.4730858800688764</c:v>
                </c:pt>
                <c:pt idx="6">
                  <c:v>1.469388982205923</c:v>
                </c:pt>
                <c:pt idx="7">
                  <c:v>1.458234005372893</c:v>
                </c:pt>
                <c:pt idx="8">
                  <c:v>1.8048576266591456</c:v>
                </c:pt>
                <c:pt idx="9">
                  <c:v>1.7784021590687149</c:v>
                </c:pt>
                <c:pt idx="10">
                  <c:v>1.8260667667281596</c:v>
                </c:pt>
                <c:pt idx="11">
                  <c:v>1.7988556452559548</c:v>
                </c:pt>
                <c:pt idx="12">
                  <c:v>1.0723837870397315</c:v>
                </c:pt>
                <c:pt idx="13">
                  <c:v>1.4798978783046743</c:v>
                </c:pt>
                <c:pt idx="14">
                  <c:v>1.8052134669878932</c:v>
                </c:pt>
              </c:numCache>
            </c:numRef>
          </c:xVal>
          <c:yVal>
            <c:numRef>
              <c:f>Summary!$T$8:$T$22</c:f>
              <c:numCache>
                <c:formatCode>0.00</c:formatCode>
                <c:ptCount val="15"/>
                <c:pt idx="0">
                  <c:v>0.97243660418963618</c:v>
                </c:pt>
                <c:pt idx="1">
                  <c:v>0.85787451984635088</c:v>
                </c:pt>
                <c:pt idx="2">
                  <c:v>0.90558766859344897</c:v>
                </c:pt>
                <c:pt idx="3">
                  <c:v>0.90884718498659522</c:v>
                </c:pt>
                <c:pt idx="4">
                  <c:v>0.97372262773722629</c:v>
                </c:pt>
                <c:pt idx="5">
                  <c:v>1.1016949152542372</c:v>
                </c:pt>
                <c:pt idx="6">
                  <c:v>1.1019900497512438</c:v>
                </c:pt>
                <c:pt idx="7">
                  <c:v>1.1241830065359477</c:v>
                </c:pt>
                <c:pt idx="8">
                  <c:v>1.0248565965583174</c:v>
                </c:pt>
                <c:pt idx="9">
                  <c:v>1.2681818181818181</c:v>
                </c:pt>
                <c:pt idx="10">
                  <c:v>1.1090342679127725</c:v>
                </c:pt>
                <c:pt idx="11">
                  <c:v>1.1673306772908367</c:v>
                </c:pt>
                <c:pt idx="12">
                  <c:v>1.0024937655860349</c:v>
                </c:pt>
                <c:pt idx="13">
                  <c:v>1.2553956834532374</c:v>
                </c:pt>
                <c:pt idx="14">
                  <c:v>1.318840579710145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79-493C-AEE0-BDA76CEC84AB}"/>
            </c:ext>
          </c:extLst>
        </c:ser>
        <c:ser>
          <c:idx val="1"/>
          <c:order val="1"/>
          <c:tx>
            <c:v>2ndS-K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Summary!$N$8:$N$22</c:f>
              <c:numCache>
                <c:formatCode>0.00</c:formatCode>
                <c:ptCount val="15"/>
                <c:pt idx="0">
                  <c:v>1.0487364451299039</c:v>
                </c:pt>
                <c:pt idx="1">
                  <c:v>1.055124532921069</c:v>
                </c:pt>
                <c:pt idx="2">
                  <c:v>1.0584422842588779</c:v>
                </c:pt>
                <c:pt idx="3">
                  <c:v>1.0522885819991259</c:v>
                </c:pt>
                <c:pt idx="4">
                  <c:v>1.4766908945213992</c:v>
                </c:pt>
                <c:pt idx="5">
                  <c:v>1.4730858800688764</c:v>
                </c:pt>
                <c:pt idx="6">
                  <c:v>1.469388982205923</c:v>
                </c:pt>
                <c:pt idx="7">
                  <c:v>1.458234005372893</c:v>
                </c:pt>
                <c:pt idx="8">
                  <c:v>1.8048576266591456</c:v>
                </c:pt>
                <c:pt idx="9">
                  <c:v>1.7784021590687149</c:v>
                </c:pt>
                <c:pt idx="10">
                  <c:v>1.8260667667281596</c:v>
                </c:pt>
                <c:pt idx="11">
                  <c:v>1.7988556452559548</c:v>
                </c:pt>
                <c:pt idx="12">
                  <c:v>1.0723837870397315</c:v>
                </c:pt>
                <c:pt idx="13">
                  <c:v>1.4798978783046743</c:v>
                </c:pt>
                <c:pt idx="14">
                  <c:v>1.8052134669878932</c:v>
                </c:pt>
              </c:numCache>
            </c:numRef>
          </c:xVal>
          <c:yVal>
            <c:numRef>
              <c:f>Summary!$X$8:$X$22</c:f>
              <c:numCache>
                <c:formatCode>0.00</c:formatCode>
                <c:ptCount val="15"/>
                <c:pt idx="0">
                  <c:v>1.2422535211267605</c:v>
                </c:pt>
                <c:pt idx="1">
                  <c:v>1.0651828298887123</c:v>
                </c:pt>
                <c:pt idx="2">
                  <c:v>1.070615034168565</c:v>
                </c:pt>
                <c:pt idx="3">
                  <c:v>1.0272727272727273</c:v>
                </c:pt>
                <c:pt idx="4">
                  <c:v>1.4313304721030042</c:v>
                </c:pt>
                <c:pt idx="5">
                  <c:v>1.5931372549019607</c:v>
                </c:pt>
                <c:pt idx="6">
                  <c:v>1.4668874172185431</c:v>
                </c:pt>
                <c:pt idx="7">
                  <c:v>1.4273858921161826</c:v>
                </c:pt>
                <c:pt idx="8">
                  <c:v>1.6291793313069909</c:v>
                </c:pt>
                <c:pt idx="9">
                  <c:v>1.9175257731958764</c:v>
                </c:pt>
                <c:pt idx="10">
                  <c:v>1.5278969957081545</c:v>
                </c:pt>
                <c:pt idx="11">
                  <c:v>1.5340314136125655</c:v>
                </c:pt>
                <c:pt idx="12">
                  <c:v>0.92626728110599077</c:v>
                </c:pt>
                <c:pt idx="13">
                  <c:v>1.1711409395973154</c:v>
                </c:pt>
                <c:pt idx="14">
                  <c:v>1.21875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79-493C-AEE0-BDA76CEC84AB}"/>
            </c:ext>
          </c:extLst>
        </c:ser>
        <c:ser>
          <c:idx val="2"/>
          <c:order val="2"/>
          <c:tx>
            <c:v>kW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Summary!$N$25:$N$45</c:f>
              <c:numCache>
                <c:formatCode>0.00</c:formatCode>
                <c:ptCount val="21"/>
                <c:pt idx="0">
                  <c:v>0.72071364160606832</c:v>
                </c:pt>
                <c:pt idx="1">
                  <c:v>0.72071364160606832</c:v>
                </c:pt>
                <c:pt idx="2">
                  <c:v>0.74542312655146625</c:v>
                </c:pt>
                <c:pt idx="3">
                  <c:v>0.72071364160606832</c:v>
                </c:pt>
                <c:pt idx="4">
                  <c:v>0.74542312655146625</c:v>
                </c:pt>
                <c:pt idx="5">
                  <c:v>0.78574944277152647</c:v>
                </c:pt>
                <c:pt idx="6">
                  <c:v>0.63246292180432362</c:v>
                </c:pt>
                <c:pt idx="7">
                  <c:v>0.63246292180432362</c:v>
                </c:pt>
                <c:pt idx="8">
                  <c:v>0.63246292180432362</c:v>
                </c:pt>
                <c:pt idx="9">
                  <c:v>0.6393133904560957</c:v>
                </c:pt>
                <c:pt idx="10">
                  <c:v>0.67773573972872381</c:v>
                </c:pt>
                <c:pt idx="11">
                  <c:v>0.73527098208703945</c:v>
                </c:pt>
                <c:pt idx="12">
                  <c:v>0.73527098208703945</c:v>
                </c:pt>
                <c:pt idx="13">
                  <c:v>0.73527098208703945</c:v>
                </c:pt>
                <c:pt idx="14">
                  <c:v>0.61672441532571176</c:v>
                </c:pt>
                <c:pt idx="15">
                  <c:v>0.61672441532571176</c:v>
                </c:pt>
                <c:pt idx="16">
                  <c:v>0.61549076756660259</c:v>
                </c:pt>
                <c:pt idx="17">
                  <c:v>0.61549076756660259</c:v>
                </c:pt>
                <c:pt idx="18">
                  <c:v>0.44636439587282273</c:v>
                </c:pt>
                <c:pt idx="19">
                  <c:v>0.43672177102368237</c:v>
                </c:pt>
                <c:pt idx="20">
                  <c:v>0.44636439587282273</c:v>
                </c:pt>
              </c:numCache>
            </c:numRef>
          </c:xVal>
          <c:yVal>
            <c:numRef>
              <c:f>Summary!$T$25:$T$45</c:f>
              <c:numCache>
                <c:formatCode>0.00</c:formatCode>
                <c:ptCount val="21"/>
                <c:pt idx="0">
                  <c:v>1.2484076433121019</c:v>
                </c:pt>
                <c:pt idx="1">
                  <c:v>1.2021333333333333</c:v>
                </c:pt>
                <c:pt idx="2">
                  <c:v>1.2249999999999999</c:v>
                </c:pt>
                <c:pt idx="3">
                  <c:v>1.1033112582781457</c:v>
                </c:pt>
                <c:pt idx="4">
                  <c:v>1.2101449275362319</c:v>
                </c:pt>
                <c:pt idx="5">
                  <c:v>1.30679012345679</c:v>
                </c:pt>
                <c:pt idx="6">
                  <c:v>1.2545180722891567</c:v>
                </c:pt>
                <c:pt idx="7">
                  <c:v>1.2688659793814432</c:v>
                </c:pt>
                <c:pt idx="8">
                  <c:v>1.3134020618556701</c:v>
                </c:pt>
                <c:pt idx="9">
                  <c:v>1.1307692307692307</c:v>
                </c:pt>
                <c:pt idx="10">
                  <c:v>1.2652582159624413</c:v>
                </c:pt>
                <c:pt idx="11">
                  <c:v>1.2035087719298245</c:v>
                </c:pt>
                <c:pt idx="12">
                  <c:v>1.0697855750487328</c:v>
                </c:pt>
                <c:pt idx="13">
                  <c:v>1.2733167082294266</c:v>
                </c:pt>
                <c:pt idx="14">
                  <c:v>1.2003550295857988</c:v>
                </c:pt>
                <c:pt idx="15">
                  <c:v>1.1629522431259045</c:v>
                </c:pt>
                <c:pt idx="16">
                  <c:v>1.2009803921568627</c:v>
                </c:pt>
                <c:pt idx="17">
                  <c:v>1.1158634538152612</c:v>
                </c:pt>
                <c:pt idx="18">
                  <c:v>1.214218009478673</c:v>
                </c:pt>
                <c:pt idx="19">
                  <c:v>1.2063451776649747</c:v>
                </c:pt>
                <c:pt idx="20">
                  <c:v>1.1095194085027726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79-493C-AEE0-BDA76CEC84AB}"/>
            </c:ext>
          </c:extLst>
        </c:ser>
        <c:ser>
          <c:idx val="3"/>
          <c:order val="3"/>
          <c:tx>
            <c:v>2ndW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Summary!$N$25:$N$45</c:f>
              <c:numCache>
                <c:formatCode>0.00</c:formatCode>
                <c:ptCount val="21"/>
                <c:pt idx="0">
                  <c:v>0.72071364160606832</c:v>
                </c:pt>
                <c:pt idx="1">
                  <c:v>0.72071364160606832</c:v>
                </c:pt>
                <c:pt idx="2">
                  <c:v>0.74542312655146625</c:v>
                </c:pt>
                <c:pt idx="3">
                  <c:v>0.72071364160606832</c:v>
                </c:pt>
                <c:pt idx="4">
                  <c:v>0.74542312655146625</c:v>
                </c:pt>
                <c:pt idx="5">
                  <c:v>0.78574944277152647</c:v>
                </c:pt>
                <c:pt idx="6">
                  <c:v>0.63246292180432362</c:v>
                </c:pt>
                <c:pt idx="7">
                  <c:v>0.63246292180432362</c:v>
                </c:pt>
                <c:pt idx="8">
                  <c:v>0.63246292180432362</c:v>
                </c:pt>
                <c:pt idx="9">
                  <c:v>0.6393133904560957</c:v>
                </c:pt>
                <c:pt idx="10">
                  <c:v>0.67773573972872381</c:v>
                </c:pt>
                <c:pt idx="11">
                  <c:v>0.73527098208703945</c:v>
                </c:pt>
                <c:pt idx="12">
                  <c:v>0.73527098208703945</c:v>
                </c:pt>
                <c:pt idx="13">
                  <c:v>0.73527098208703945</c:v>
                </c:pt>
                <c:pt idx="14">
                  <c:v>0.61672441532571176</c:v>
                </c:pt>
                <c:pt idx="15">
                  <c:v>0.61672441532571176</c:v>
                </c:pt>
                <c:pt idx="16">
                  <c:v>0.61549076756660259</c:v>
                </c:pt>
                <c:pt idx="17">
                  <c:v>0.61549076756660259</c:v>
                </c:pt>
                <c:pt idx="18">
                  <c:v>0.44636439587282273</c:v>
                </c:pt>
                <c:pt idx="19">
                  <c:v>0.43672177102368237</c:v>
                </c:pt>
                <c:pt idx="20">
                  <c:v>0.44636439587282273</c:v>
                </c:pt>
              </c:numCache>
            </c:numRef>
          </c:xVal>
          <c:yVal>
            <c:numRef>
              <c:f>Summary!$X$25:$X$45</c:f>
              <c:numCache>
                <c:formatCode>0.00</c:formatCode>
                <c:ptCount val="21"/>
                <c:pt idx="0">
                  <c:v>1.2327044025157232</c:v>
                </c:pt>
                <c:pt idx="1">
                  <c:v>1.1832020997375328</c:v>
                </c:pt>
                <c:pt idx="2">
                  <c:v>1.2005698005698004</c:v>
                </c:pt>
                <c:pt idx="3">
                  <c:v>1.1106666666666667</c:v>
                </c:pt>
                <c:pt idx="4">
                  <c:v>1.1894586894586894</c:v>
                </c:pt>
                <c:pt idx="5">
                  <c:v>1.2987730061349692</c:v>
                </c:pt>
                <c:pt idx="6">
                  <c:v>1.2214076246334311</c:v>
                </c:pt>
                <c:pt idx="7">
                  <c:v>1.2610655737704917</c:v>
                </c:pt>
                <c:pt idx="8">
                  <c:v>1.3</c:v>
                </c:pt>
                <c:pt idx="9">
                  <c:v>1.1061386138613862</c:v>
                </c:pt>
                <c:pt idx="10">
                  <c:v>1.2476851851851851</c:v>
                </c:pt>
                <c:pt idx="11">
                  <c:v>1.1591397849462366</c:v>
                </c:pt>
                <c:pt idx="12">
                  <c:v>1.0354716981132075</c:v>
                </c:pt>
                <c:pt idx="13">
                  <c:v>1.2607407407407407</c:v>
                </c:pt>
                <c:pt idx="14">
                  <c:v>1.2003550295857988</c:v>
                </c:pt>
                <c:pt idx="15">
                  <c:v>1.1463623395149787</c:v>
                </c:pt>
                <c:pt idx="16">
                  <c:v>1.1835748792270531</c:v>
                </c:pt>
                <c:pt idx="17">
                  <c:v>1.0832358674463938</c:v>
                </c:pt>
                <c:pt idx="18">
                  <c:v>1.214218009478673</c:v>
                </c:pt>
                <c:pt idx="19">
                  <c:v>1.1843023255813954</c:v>
                </c:pt>
                <c:pt idx="20">
                  <c:v>1.2077464788732395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79-493C-AEE0-BDA76CEC84AB}"/>
            </c:ext>
          </c:extLst>
        </c:ser>
        <c:ser>
          <c:idx val="4"/>
          <c:order val="4"/>
          <c:tx>
            <c:v>kM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Summary!$N$49:$N$52</c:f>
              <c:numCache>
                <c:formatCode>0.00</c:formatCode>
                <c:ptCount val="4"/>
                <c:pt idx="0">
                  <c:v>1.2217411757422663</c:v>
                </c:pt>
                <c:pt idx="1">
                  <c:v>0.83873492320844489</c:v>
                </c:pt>
                <c:pt idx="2">
                  <c:v>0.63505705933526435</c:v>
                </c:pt>
                <c:pt idx="3">
                  <c:v>0.50911410848114147</c:v>
                </c:pt>
              </c:numCache>
            </c:numRef>
          </c:xVal>
          <c:yVal>
            <c:numRef>
              <c:f>Summary!$T$49:$T$52</c:f>
              <c:numCache>
                <c:formatCode>0.00</c:formatCode>
                <c:ptCount val="4"/>
                <c:pt idx="0">
                  <c:v>1.8261405672009865</c:v>
                </c:pt>
                <c:pt idx="1">
                  <c:v>1.2058990357345434</c:v>
                </c:pt>
                <c:pt idx="2">
                  <c:v>1.0451635846372689</c:v>
                </c:pt>
                <c:pt idx="3">
                  <c:v>0.79326424870466317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079-493C-AEE0-BDA76CEC84AB}"/>
            </c:ext>
          </c:extLst>
        </c:ser>
        <c:ser>
          <c:idx val="5"/>
          <c:order val="5"/>
          <c:tx>
            <c:v>2ndM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Summary!$N$49:$N$52</c:f>
              <c:numCache>
                <c:formatCode>0.00</c:formatCode>
                <c:ptCount val="4"/>
                <c:pt idx="0">
                  <c:v>1.2217411757422663</c:v>
                </c:pt>
                <c:pt idx="1">
                  <c:v>0.83873492320844489</c:v>
                </c:pt>
                <c:pt idx="2">
                  <c:v>0.63505705933526435</c:v>
                </c:pt>
                <c:pt idx="3">
                  <c:v>0.50911410848114147</c:v>
                </c:pt>
              </c:numCache>
            </c:numRef>
          </c:xVal>
          <c:yVal>
            <c:numRef>
              <c:f>Summary!$X$49:$X$52</c:f>
              <c:numCache>
                <c:formatCode>0.00</c:formatCode>
                <c:ptCount val="4"/>
                <c:pt idx="0">
                  <c:v>1.7908101571946795</c:v>
                </c:pt>
                <c:pt idx="1">
                  <c:v>1.1784922394678492</c:v>
                </c:pt>
                <c:pt idx="2">
                  <c:v>1.0194242108914324</c:v>
                </c:pt>
                <c:pt idx="3">
                  <c:v>0.77186791025964208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079-493C-AEE0-BDA76CEC84AB}"/>
            </c:ext>
          </c:extLst>
        </c:ser>
        <c:ser>
          <c:idx val="6"/>
          <c:order val="6"/>
          <c:tx>
            <c:v>kH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Summary!$N$55:$N$60</c:f>
              <c:numCache>
                <c:formatCode>0.00</c:formatCode>
                <c:ptCount val="6"/>
                <c:pt idx="0">
                  <c:v>0.20061288528597068</c:v>
                </c:pt>
                <c:pt idx="1">
                  <c:v>0.20061288528597068</c:v>
                </c:pt>
                <c:pt idx="2">
                  <c:v>0.20061288528597068</c:v>
                </c:pt>
                <c:pt idx="3">
                  <c:v>0.20061288528597068</c:v>
                </c:pt>
                <c:pt idx="4">
                  <c:v>0.60183865585791207</c:v>
                </c:pt>
                <c:pt idx="5">
                  <c:v>0.60183865585791207</c:v>
                </c:pt>
              </c:numCache>
            </c:numRef>
          </c:xVal>
          <c:yVal>
            <c:numRef>
              <c:f>Summary!$T$55:$T$60</c:f>
              <c:numCache>
                <c:formatCode>0.00</c:formatCode>
                <c:ptCount val="6"/>
                <c:pt idx="0">
                  <c:v>1</c:v>
                </c:pt>
                <c:pt idx="1">
                  <c:v>0.93119266055045868</c:v>
                </c:pt>
                <c:pt idx="2">
                  <c:v>0.86827956989247312</c:v>
                </c:pt>
                <c:pt idx="3">
                  <c:v>0.81989247311827962</c:v>
                </c:pt>
                <c:pt idx="4">
                  <c:v>0.85025380710659904</c:v>
                </c:pt>
                <c:pt idx="5">
                  <c:v>0.8058375634517766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079-493C-AEE0-BDA76CEC84AB}"/>
            </c:ext>
          </c:extLst>
        </c:ser>
        <c:ser>
          <c:idx val="7"/>
          <c:order val="7"/>
          <c:tx>
            <c:v>2ndH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Summary!$N$55:$N$60</c:f>
              <c:numCache>
                <c:formatCode>0.00</c:formatCode>
                <c:ptCount val="6"/>
                <c:pt idx="0">
                  <c:v>0.20061288528597068</c:v>
                </c:pt>
                <c:pt idx="1">
                  <c:v>0.20061288528597068</c:v>
                </c:pt>
                <c:pt idx="2">
                  <c:v>0.20061288528597068</c:v>
                </c:pt>
                <c:pt idx="3">
                  <c:v>0.20061288528597068</c:v>
                </c:pt>
                <c:pt idx="4">
                  <c:v>0.60183865585791207</c:v>
                </c:pt>
                <c:pt idx="5">
                  <c:v>0.60183865585791207</c:v>
                </c:pt>
              </c:numCache>
            </c:numRef>
          </c:xVal>
          <c:yVal>
            <c:numRef>
              <c:f>Summary!$X$55:$X$60</c:f>
              <c:numCache>
                <c:formatCode>0.00</c:formatCode>
                <c:ptCount val="6"/>
                <c:pt idx="0">
                  <c:v>1.0198830409356725</c:v>
                </c:pt>
                <c:pt idx="1">
                  <c:v>0.94970760233918128</c:v>
                </c:pt>
                <c:pt idx="2">
                  <c:v>0.87179487179487181</c:v>
                </c:pt>
                <c:pt idx="3">
                  <c:v>0.82321187584345479</c:v>
                </c:pt>
                <c:pt idx="4">
                  <c:v>0.86787564766839376</c:v>
                </c:pt>
                <c:pt idx="5">
                  <c:v>0.82041343669250644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079-493C-AEE0-BDA76CEC84AB}"/>
            </c:ext>
          </c:extLst>
        </c:ser>
        <c:ser>
          <c:idx val="8"/>
          <c:order val="8"/>
          <c:tx>
            <c:v>kH2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Summary!$N$63:$N$67</c:f>
              <c:numCache>
                <c:formatCode>0.000</c:formatCode>
                <c:ptCount val="5"/>
                <c:pt idx="0">
                  <c:v>0.48262195971668448</c:v>
                </c:pt>
                <c:pt idx="1">
                  <c:v>0.48262195971668448</c:v>
                </c:pt>
                <c:pt idx="2">
                  <c:v>0.48262195971668448</c:v>
                </c:pt>
                <c:pt idx="3">
                  <c:v>0.48262195971668448</c:v>
                </c:pt>
                <c:pt idx="4">
                  <c:v>0.48262195971668448</c:v>
                </c:pt>
              </c:numCache>
            </c:numRef>
          </c:xVal>
          <c:yVal>
            <c:numRef>
              <c:f>Summary!$T$63:$T$67</c:f>
              <c:numCache>
                <c:formatCode>0.00</c:formatCode>
                <c:ptCount val="5"/>
                <c:pt idx="0">
                  <c:v>0.93427835051546393</c:v>
                </c:pt>
                <c:pt idx="1">
                  <c:v>0.91172680412371132</c:v>
                </c:pt>
                <c:pt idx="2">
                  <c:v>0.96778350515463918</c:v>
                </c:pt>
                <c:pt idx="3">
                  <c:v>0.98904639175257736</c:v>
                </c:pt>
                <c:pt idx="4">
                  <c:v>1.0438144329896908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079-493C-AEE0-BDA76CEC84AB}"/>
            </c:ext>
          </c:extLst>
        </c:ser>
        <c:ser>
          <c:idx val="9"/>
          <c:order val="9"/>
          <c:tx>
            <c:v>2ndH2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Summary!$N$63:$N$67</c:f>
              <c:numCache>
                <c:formatCode>0.000</c:formatCode>
                <c:ptCount val="5"/>
                <c:pt idx="0">
                  <c:v>0.48262195971668448</c:v>
                </c:pt>
                <c:pt idx="1">
                  <c:v>0.48262195971668448</c:v>
                </c:pt>
                <c:pt idx="2">
                  <c:v>0.48262195971668448</c:v>
                </c:pt>
                <c:pt idx="3">
                  <c:v>0.48262195971668448</c:v>
                </c:pt>
                <c:pt idx="4">
                  <c:v>0.48262195971668448</c:v>
                </c:pt>
              </c:numCache>
            </c:numRef>
          </c:xVal>
          <c:yVal>
            <c:numRef>
              <c:f>Summary!$X$63:$X$67</c:f>
              <c:numCache>
                <c:formatCode>0.00</c:formatCode>
                <c:ptCount val="5"/>
                <c:pt idx="0">
                  <c:v>0.90738423028785986</c:v>
                </c:pt>
                <c:pt idx="1">
                  <c:v>0.88437500000000002</c:v>
                </c:pt>
                <c:pt idx="2">
                  <c:v>0.94169278996865202</c:v>
                </c:pt>
                <c:pt idx="3">
                  <c:v>0.96359070935342117</c:v>
                </c:pt>
                <c:pt idx="4">
                  <c:v>1.0207939508506616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079-493C-AEE0-BDA76CEC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625936"/>
        <c:axId val="1"/>
      </c:scatterChart>
      <c:valAx>
        <c:axId val="13406259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  SQRT Nult/Ncrit</a:t>
                </a:r>
              </a:p>
            </c:rich>
          </c:tx>
          <c:layout>
            <c:manualLayout>
              <c:xMode val="edge"/>
              <c:yMode val="edge"/>
              <c:x val="0.39178690344062156"/>
              <c:y val="0.9331158238172919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Test/Analysis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389885807504078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625936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8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8" workbookViewId="0" xr3:uid="{51F8DEE0-4D01-5F28-A812-FC0BD7CAC4A5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8" workbookViewId="0" xr3:uid="{F9CF3CF3-643B-5BE6-8B46-32C596A47465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68" workbookViewId="0" xr3:uid="{78B4E459-6924-5F8B-B7BA-2DD04133E49E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1AB3CC07-7AAC-46A1-8964-F4AE29FC86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0.0875</cdr:x>
      <cdr:y>0.105</cdr:y>
    </cdr:from>
    <cdr:to>
      <cdr:x>0.74825</cdr:x>
      <cdr:y>0.8885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1051595D-DB55-4226-8999-960ECDF1F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50927" y="613077"/>
          <a:ext cx="5670573" cy="45747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63DB4D9B-364E-44F6-BAC9-DCF1328587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0.06775</cdr:x>
      <cdr:y>0.69275</cdr:y>
    </cdr:from>
    <cdr:to>
      <cdr:x>0.95</cdr:x>
      <cdr:y>0.69575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EBB7F21C-F86E-42F8-93A8-D83A741D94D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24023" y="3893082"/>
          <a:ext cx="8126118" cy="168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6269788F-76BD-43E6-94F1-CDFED37D9F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0.06575</cdr:x>
      <cdr:y>0.56075</cdr:y>
    </cdr:from>
    <cdr:to>
      <cdr:x>0.93</cdr:x>
      <cdr:y>0.56125</cdr:y>
    </cdr:to>
    <cdr:sp macro="" textlink="">
      <cdr:nvSpPr>
        <cdr:cNvPr id="37889" name="Line 1">
          <a:extLst xmlns:a="http://schemas.openxmlformats.org/drawingml/2006/main">
            <a:ext uri="{FF2B5EF4-FFF2-40B4-BE49-F238E27FC236}">
              <a16:creationId xmlns:a16="http://schemas.microsoft.com/office/drawing/2014/main" id="{B5716712-B537-4979-BB68-1E8043D9807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05602" y="3151275"/>
          <a:ext cx="7960326" cy="2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F5A85B1F-6EEF-4905-9B6E-B0AA199EEE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0.1695</cdr:x>
      <cdr:y>0.20925</cdr:y>
    </cdr:from>
    <cdr:to>
      <cdr:x>0.2965</cdr:x>
      <cdr:y>0.338</cdr:y>
    </cdr:to>
    <cdr:sp macro="" textlink="">
      <cdr:nvSpPr>
        <cdr:cNvPr id="39937" name="Text Box 1">
          <a:extLst xmlns:a="http://schemas.openxmlformats.org/drawingml/2006/main">
            <a:ext uri="{FF2B5EF4-FFF2-40B4-BE49-F238E27FC236}">
              <a16:creationId xmlns:a16="http://schemas.microsoft.com/office/drawing/2014/main" id="{69EA3B8A-CF8B-45BF-B304-307A597FB5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4653" y="1221774"/>
          <a:ext cx="1089917" cy="7517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'k' factor</a:t>
          </a:r>
        </a:p>
        <a:p xmlns:a="http://schemas.openxmlformats.org/drawingml/2006/main">
          <a:pPr algn="l" rtl="0">
            <a:defRPr sz="1000"/>
          </a:pPr>
          <a:endParaRPr lang="en-US" sz="13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2nd Order</a:t>
          </a:r>
        </a:p>
      </cdr:txBody>
    </cdr:sp>
  </cdr:relSizeAnchor>
  <cdr:relSizeAnchor xmlns:cdr="http://schemas.openxmlformats.org/drawingml/2006/chartDrawing">
    <cdr:from>
      <cdr:x>0.14875</cdr:x>
      <cdr:y>0.28325</cdr:y>
    </cdr:from>
    <cdr:to>
      <cdr:x>0.15875</cdr:x>
      <cdr:y>0.30525</cdr:y>
    </cdr:to>
    <cdr:sp macro="" textlink="">
      <cdr:nvSpPr>
        <cdr:cNvPr id="39938" name="Rectangle 2">
          <a:extLst xmlns:a="http://schemas.openxmlformats.org/drawingml/2006/main">
            <a:ext uri="{FF2B5EF4-FFF2-40B4-BE49-F238E27FC236}">
              <a16:creationId xmlns:a16="http://schemas.microsoft.com/office/drawing/2014/main" id="{0AE6A1C6-FF6B-42B1-972B-CF5FBB11A55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6576" y="1653847"/>
          <a:ext cx="85820" cy="12845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0.14875</cdr:x>
      <cdr:y>0.2215</cdr:y>
    </cdr:from>
    <cdr:to>
      <cdr:x>0.15875</cdr:x>
      <cdr:y>0.2425</cdr:y>
    </cdr:to>
    <cdr:sp macro="" textlink="">
      <cdr:nvSpPr>
        <cdr:cNvPr id="39939" name="AutoShape 3">
          <a:extLst xmlns:a="http://schemas.openxmlformats.org/drawingml/2006/main">
            <a:ext uri="{FF2B5EF4-FFF2-40B4-BE49-F238E27FC236}">
              <a16:creationId xmlns:a16="http://schemas.microsoft.com/office/drawing/2014/main" id="{762B73FE-5B14-420D-B499-331A8DA4993F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6576" y="1293300"/>
          <a:ext cx="85820" cy="122615"/>
        </a:xfrm>
        <a:prstGeom xmlns:a="http://schemas.openxmlformats.org/drawingml/2006/main" prst="diamond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0000" mc:Ignorable="a14" a14:legacySpreadsheetColorIndex="8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0.07775</cdr:x>
      <cdr:y>0.67825</cdr:y>
    </cdr:from>
    <cdr:to>
      <cdr:x>0.97925</cdr:x>
      <cdr:y>0.679</cdr:y>
    </cdr:to>
    <cdr:sp macro="" textlink="">
      <cdr:nvSpPr>
        <cdr:cNvPr id="39940" name="Line 4">
          <a:extLst xmlns:a="http://schemas.openxmlformats.org/drawingml/2006/main">
            <a:ext uri="{FF2B5EF4-FFF2-40B4-BE49-F238E27FC236}">
              <a16:creationId xmlns:a16="http://schemas.microsoft.com/office/drawing/2014/main" id="{DBA93A80-CB0A-4B49-BFCD-4707BA30A4F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67252" y="3960183"/>
          <a:ext cx="7736696" cy="43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"/>
  <sheetViews>
    <sheetView workbookViewId="0" xr3:uid="{AEA406A1-0E4B-5B11-9CD5-51D6E497D94C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36" width="7.7109375" customWidth="1"/>
  </cols>
  <sheetData>
    <row r="1" spans="1:36">
      <c r="A1" s="23" t="s">
        <v>0</v>
      </c>
      <c r="B1" s="23"/>
      <c r="C1" s="23"/>
      <c r="D1" s="23"/>
      <c r="E1" s="23"/>
      <c r="F1" s="23"/>
      <c r="G1" s="23"/>
      <c r="H1" s="23"/>
      <c r="L1" s="20"/>
      <c r="M1" s="20"/>
      <c r="N1" s="20"/>
      <c r="O1" s="20"/>
      <c r="P1" s="20"/>
      <c r="Q1" s="20"/>
      <c r="R1" s="20"/>
      <c r="S1" s="20"/>
      <c r="U1" s="23" t="s">
        <v>1</v>
      </c>
      <c r="V1" s="23"/>
      <c r="W1" s="23" t="s">
        <v>2</v>
      </c>
      <c r="X1" s="23"/>
    </row>
    <row r="2" spans="1:36">
      <c r="A2" s="2"/>
      <c r="B2" s="23" t="s">
        <v>3</v>
      </c>
      <c r="C2" s="23"/>
      <c r="D2" s="23"/>
      <c r="E2" s="23"/>
      <c r="I2" s="21"/>
      <c r="J2" s="21"/>
      <c r="K2" s="21"/>
      <c r="L2" s="21"/>
      <c r="M2" s="21"/>
      <c r="N2" s="21"/>
      <c r="O2" s="21"/>
      <c r="P2" s="20"/>
      <c r="Q2" s="20"/>
      <c r="R2" s="20"/>
      <c r="S2" s="20"/>
      <c r="U2" s="23" t="s">
        <v>4</v>
      </c>
      <c r="V2" s="23"/>
      <c r="W2" s="23" t="s">
        <v>4</v>
      </c>
      <c r="X2" s="23"/>
    </row>
    <row r="3" spans="1:36">
      <c r="A3" s="20" t="s">
        <v>5</v>
      </c>
      <c r="I3" s="2" t="s">
        <v>6</v>
      </c>
      <c r="J3" s="25" t="s">
        <v>7</v>
      </c>
      <c r="K3" s="25"/>
      <c r="L3" s="25"/>
      <c r="M3" s="22"/>
      <c r="N3" s="22"/>
      <c r="U3" s="20" t="s">
        <v>8</v>
      </c>
      <c r="W3" s="20" t="s">
        <v>9</v>
      </c>
    </row>
    <row r="4" spans="1:36">
      <c r="A4" s="2"/>
      <c r="N4" s="20" t="s">
        <v>10</v>
      </c>
      <c r="O4" s="20" t="s">
        <v>11</v>
      </c>
      <c r="P4" s="20" t="s">
        <v>11</v>
      </c>
      <c r="Q4" s="20" t="s">
        <v>11</v>
      </c>
      <c r="R4" s="20" t="s">
        <v>12</v>
      </c>
      <c r="S4" s="3" t="s">
        <v>11</v>
      </c>
      <c r="T4" s="20" t="s">
        <v>13</v>
      </c>
      <c r="U4" s="20" t="s">
        <v>14</v>
      </c>
      <c r="V4" s="3" t="s">
        <v>11</v>
      </c>
      <c r="W4" s="20" t="s">
        <v>14</v>
      </c>
      <c r="X4" s="3" t="s">
        <v>11</v>
      </c>
      <c r="Y4" s="3"/>
      <c r="Z4" s="3"/>
      <c r="AA4" s="6" t="s">
        <v>15</v>
      </c>
      <c r="AC4" t="s">
        <v>16</v>
      </c>
      <c r="AD4" t="s">
        <v>17</v>
      </c>
      <c r="AE4" t="s">
        <v>18</v>
      </c>
      <c r="AF4" t="s">
        <v>19</v>
      </c>
      <c r="AJ4" s="4" t="s">
        <v>20</v>
      </c>
    </row>
    <row r="5" spans="1:36" s="1" customFormat="1">
      <c r="A5" s="5" t="s">
        <v>21</v>
      </c>
      <c r="B5" s="20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27</v>
      </c>
      <c r="H5" s="20" t="s">
        <v>28</v>
      </c>
      <c r="I5" s="20" t="s">
        <v>29</v>
      </c>
      <c r="J5" s="20" t="s">
        <v>30</v>
      </c>
      <c r="K5" s="20" t="s">
        <v>31</v>
      </c>
      <c r="L5" s="20" t="s">
        <v>32</v>
      </c>
      <c r="M5" s="20" t="s">
        <v>33</v>
      </c>
      <c r="N5" s="20" t="s">
        <v>34</v>
      </c>
      <c r="O5" s="20" t="s">
        <v>35</v>
      </c>
      <c r="P5" s="6" t="s">
        <v>36</v>
      </c>
      <c r="Q5" s="20" t="s">
        <v>37</v>
      </c>
      <c r="R5" s="20" t="s">
        <v>38</v>
      </c>
      <c r="S5" s="20" t="s">
        <v>38</v>
      </c>
      <c r="T5" s="20" t="s">
        <v>38</v>
      </c>
      <c r="U5" s="20" t="s">
        <v>38</v>
      </c>
      <c r="V5" s="20" t="s">
        <v>39</v>
      </c>
      <c r="W5" s="20" t="s">
        <v>40</v>
      </c>
      <c r="X5" s="20" t="s">
        <v>38</v>
      </c>
      <c r="Y5" s="20" t="s">
        <v>41</v>
      </c>
      <c r="Z5" s="20" t="s">
        <v>42</v>
      </c>
      <c r="AA5" s="3" t="s">
        <v>43</v>
      </c>
      <c r="AB5" s="20"/>
      <c r="AC5" s="20" t="s">
        <v>44</v>
      </c>
      <c r="AD5" s="20" t="s">
        <v>45</v>
      </c>
      <c r="AE5" s="20" t="s">
        <v>46</v>
      </c>
      <c r="AF5" s="20" t="s">
        <v>47</v>
      </c>
      <c r="AG5" s="20" t="s">
        <v>48</v>
      </c>
      <c r="AH5" s="20" t="s">
        <v>49</v>
      </c>
      <c r="AI5" s="20" t="s">
        <v>50</v>
      </c>
      <c r="AJ5" s="20" t="s">
        <v>51</v>
      </c>
    </row>
    <row r="6" spans="1:36" s="1" customFormat="1">
      <c r="A6" s="5"/>
      <c r="B6" s="20" t="s">
        <v>52</v>
      </c>
      <c r="C6" s="20" t="s">
        <v>52</v>
      </c>
      <c r="D6" s="20" t="s">
        <v>52</v>
      </c>
      <c r="E6" s="20" t="s">
        <v>53</v>
      </c>
      <c r="F6" s="20" t="s">
        <v>54</v>
      </c>
      <c r="G6" s="20" t="s">
        <v>53</v>
      </c>
      <c r="H6" s="20" t="s">
        <v>53</v>
      </c>
      <c r="I6" s="20" t="s">
        <v>54</v>
      </c>
      <c r="J6" s="20" t="s">
        <v>52</v>
      </c>
      <c r="K6" s="20"/>
      <c r="L6" s="20" t="s">
        <v>55</v>
      </c>
      <c r="M6" s="20"/>
      <c r="N6" s="20" t="s">
        <v>56</v>
      </c>
      <c r="O6" s="20" t="s">
        <v>57</v>
      </c>
      <c r="P6" s="20" t="s">
        <v>52</v>
      </c>
      <c r="Q6" s="20" t="s">
        <v>58</v>
      </c>
      <c r="R6" s="20" t="s">
        <v>57</v>
      </c>
      <c r="S6" s="20" t="s">
        <v>59</v>
      </c>
      <c r="T6" s="20" t="s">
        <v>57</v>
      </c>
      <c r="U6" s="20" t="s">
        <v>57</v>
      </c>
      <c r="V6" s="20"/>
      <c r="W6" s="20" t="s">
        <v>57</v>
      </c>
      <c r="X6" s="20"/>
      <c r="Y6" s="20" t="s">
        <v>52</v>
      </c>
      <c r="Z6" s="20" t="s">
        <v>52</v>
      </c>
      <c r="AA6" s="20" t="s">
        <v>60</v>
      </c>
      <c r="AB6" s="20"/>
      <c r="AC6" s="20" t="s">
        <v>52</v>
      </c>
      <c r="AD6" s="20" t="s">
        <v>52</v>
      </c>
      <c r="AE6" s="20" t="s">
        <v>61</v>
      </c>
      <c r="AF6" s="20" t="s">
        <v>61</v>
      </c>
      <c r="AG6" s="20" t="s">
        <v>62</v>
      </c>
      <c r="AH6" s="20" t="s">
        <v>57</v>
      </c>
      <c r="AI6" s="20"/>
      <c r="AJ6" s="20"/>
    </row>
    <row r="7" spans="1:36">
      <c r="A7" s="7" t="s">
        <v>63</v>
      </c>
      <c r="B7" s="20">
        <v>1996</v>
      </c>
      <c r="C7" s="21" t="s">
        <v>64</v>
      </c>
      <c r="H7" s="20" t="s">
        <v>65</v>
      </c>
      <c r="I7" s="20" t="s">
        <v>65</v>
      </c>
    </row>
    <row r="8" spans="1:36">
      <c r="A8">
        <v>1</v>
      </c>
      <c r="B8">
        <v>100</v>
      </c>
      <c r="C8">
        <v>150</v>
      </c>
      <c r="D8">
        <v>5</v>
      </c>
      <c r="E8">
        <v>330.8</v>
      </c>
      <c r="F8">
        <v>205</v>
      </c>
      <c r="G8">
        <v>45.1</v>
      </c>
      <c r="H8">
        <f t="shared" ref="H8:H22" si="0">0.8*G8</f>
        <v>36.080000000000005</v>
      </c>
      <c r="I8" s="8">
        <f t="shared" ref="I8:I22" si="1">22*((H8+8)/10)^0.3</f>
        <v>34.331687959845056</v>
      </c>
      <c r="J8">
        <v>2940</v>
      </c>
      <c r="K8" s="8">
        <f t="shared" ref="K8:K22" si="2">J8/B8</f>
        <v>29.4</v>
      </c>
      <c r="L8" s="9">
        <f t="shared" ref="L8:L22" si="3">SQRT(R8/AH8)</f>
        <v>1.0487364451299039</v>
      </c>
      <c r="M8" s="8">
        <f>C8/D8</f>
        <v>30</v>
      </c>
      <c r="N8" s="11">
        <f>M8/(52*SQRT(235/E8))</f>
        <v>0.68448940527945434</v>
      </c>
      <c r="O8">
        <v>882</v>
      </c>
      <c r="P8">
        <v>6.3</v>
      </c>
      <c r="Q8" s="11">
        <f t="shared" ref="Q8:Q19" si="4">Y8*O8/1000</f>
        <v>5.2919999999999998</v>
      </c>
      <c r="R8" s="10">
        <f t="shared" ref="R8:R22" si="5">(E8*AF8+H8*AE8)/1000</f>
        <v>1248.528</v>
      </c>
      <c r="S8" s="11">
        <f t="shared" ref="S8:S22" si="6">O8/R8</f>
        <v>0.7064318941986083</v>
      </c>
      <c r="T8" s="10">
        <f t="shared" ref="T8:T22" si="7">AJ8*R8</f>
        <v>788.44772456250075</v>
      </c>
      <c r="U8">
        <v>907</v>
      </c>
      <c r="V8" s="11">
        <f t="shared" ref="V8:V22" si="8">O8/U8</f>
        <v>0.97243660418963618</v>
      </c>
      <c r="W8">
        <v>710</v>
      </c>
      <c r="X8" s="11">
        <f>O8/W8</f>
        <v>1.2422535211267605</v>
      </c>
      <c r="Y8">
        <v>6</v>
      </c>
      <c r="Z8">
        <v>0</v>
      </c>
      <c r="AA8" s="11">
        <f>E8*AF8/(1000*R8)</f>
        <v>0.63588481796163165</v>
      </c>
      <c r="AC8">
        <f t="shared" ref="AC8:AC22" si="9">B8-2*D8</f>
        <v>90</v>
      </c>
      <c r="AD8">
        <f t="shared" ref="AD8:AD22" si="10">C8-2*D8</f>
        <v>140</v>
      </c>
      <c r="AE8">
        <f t="shared" ref="AE8:AE22" si="11">AC8*AD8</f>
        <v>12600</v>
      </c>
      <c r="AF8">
        <f t="shared" ref="AF8:AF22" si="12">B8*C8-AE8</f>
        <v>2400</v>
      </c>
      <c r="AG8">
        <f t="shared" ref="AG8:AG22" si="13">((C8*B8^3-AD8*AC8^3)*F8+(AD8*AC8^3)*I8*0.6)/12</f>
        <v>994169603.65908945</v>
      </c>
      <c r="AH8">
        <f t="shared" ref="AH8:AH22" si="14">(PI()^2*AG8)/(J8*J8)</f>
        <v>1135.1821805385503</v>
      </c>
      <c r="AI8">
        <f t="shared" ref="AI8:AI22" si="15">0.5*(1+0.21*(L8-0.2)+L8*L8)</f>
        <v>1.1390413924104941</v>
      </c>
      <c r="AJ8">
        <f t="shared" ref="AJ8:AJ22" si="16">IF((1/(AI8+SQRT(AI8*AI8-L8*L8)))&gt;1,1,1/(AI8+SQRT(AI8*AI8-L8*L8)))</f>
        <v>0.63150183621232425</v>
      </c>
    </row>
    <row r="9" spans="1:36">
      <c r="A9" s="2" t="s">
        <v>66</v>
      </c>
      <c r="B9">
        <v>100</v>
      </c>
      <c r="C9">
        <v>150</v>
      </c>
      <c r="D9">
        <v>5</v>
      </c>
      <c r="E9">
        <v>331.5</v>
      </c>
      <c r="F9">
        <v>206</v>
      </c>
      <c r="G9">
        <v>47.2</v>
      </c>
      <c r="H9">
        <f t="shared" si="0"/>
        <v>37.760000000000005</v>
      </c>
      <c r="I9" s="8">
        <f t="shared" si="1"/>
        <v>34.719102145097914</v>
      </c>
      <c r="J9">
        <v>2940</v>
      </c>
      <c r="K9" s="8">
        <f t="shared" si="2"/>
        <v>29.4</v>
      </c>
      <c r="L9" s="9">
        <f t="shared" si="3"/>
        <v>1.055124532921069</v>
      </c>
      <c r="M9" s="8">
        <f t="shared" ref="M9:M66" si="17">C9/D9</f>
        <v>30</v>
      </c>
      <c r="N9" s="11">
        <f t="shared" ref="N9:N66" si="18">M9/(52*SQRT(235/E9))</f>
        <v>0.68521324048993448</v>
      </c>
      <c r="O9">
        <v>670</v>
      </c>
      <c r="P9">
        <v>14.6</v>
      </c>
      <c r="Q9" s="11">
        <f t="shared" si="4"/>
        <v>10.050000000000001</v>
      </c>
      <c r="R9" s="10">
        <f t="shared" si="5"/>
        <v>1271.376</v>
      </c>
      <c r="S9" s="11">
        <f t="shared" si="6"/>
        <v>0.52698808220384841</v>
      </c>
      <c r="T9" s="10">
        <f t="shared" si="7"/>
        <v>797.20949967398803</v>
      </c>
      <c r="U9">
        <v>781</v>
      </c>
      <c r="V9" s="11">
        <f t="shared" si="8"/>
        <v>0.85787451984635088</v>
      </c>
      <c r="W9">
        <v>629</v>
      </c>
      <c r="X9" s="11">
        <f t="shared" ref="X9:X66" si="19">O9/W9</f>
        <v>1.0651828298887123</v>
      </c>
      <c r="Y9">
        <v>15</v>
      </c>
      <c r="Z9">
        <v>0</v>
      </c>
      <c r="AA9" s="11">
        <f t="shared" ref="AA9:AA66" si="20">E9*AF9/(1000*R9)</f>
        <v>0.62577868388265945</v>
      </c>
      <c r="AC9">
        <f t="shared" si="9"/>
        <v>90</v>
      </c>
      <c r="AD9">
        <f t="shared" si="10"/>
        <v>140</v>
      </c>
      <c r="AE9">
        <f t="shared" si="11"/>
        <v>12600</v>
      </c>
      <c r="AF9">
        <f t="shared" si="12"/>
        <v>2400</v>
      </c>
      <c r="AG9">
        <f t="shared" si="13"/>
        <v>1000141578.2464347</v>
      </c>
      <c r="AH9">
        <f t="shared" si="14"/>
        <v>1142.0012173600662</v>
      </c>
      <c r="AI9">
        <f t="shared" si="15"/>
        <v>1.1464319659426643</v>
      </c>
      <c r="AJ9">
        <f t="shared" si="16"/>
        <v>0.62704463484758877</v>
      </c>
    </row>
    <row r="10" spans="1:36">
      <c r="A10" s="2" t="s">
        <v>67</v>
      </c>
      <c r="B10">
        <v>100</v>
      </c>
      <c r="C10">
        <v>150</v>
      </c>
      <c r="D10">
        <v>5</v>
      </c>
      <c r="E10">
        <v>331.5</v>
      </c>
      <c r="F10">
        <v>206</v>
      </c>
      <c r="G10">
        <v>48.1</v>
      </c>
      <c r="H10">
        <f t="shared" si="0"/>
        <v>38.480000000000004</v>
      </c>
      <c r="I10" s="8">
        <f t="shared" si="1"/>
        <v>34.882091473864762</v>
      </c>
      <c r="J10">
        <v>2940</v>
      </c>
      <c r="K10" s="8">
        <f t="shared" si="2"/>
        <v>29.4</v>
      </c>
      <c r="L10" s="9">
        <f t="shared" si="3"/>
        <v>1.0584422842588779</v>
      </c>
      <c r="M10" s="8">
        <f t="shared" si="17"/>
        <v>30</v>
      </c>
      <c r="N10" s="11">
        <f t="shared" si="18"/>
        <v>0.68521324048993448</v>
      </c>
      <c r="O10">
        <v>470</v>
      </c>
      <c r="P10">
        <v>33.1</v>
      </c>
      <c r="Q10" s="11">
        <f t="shared" si="4"/>
        <v>21.15</v>
      </c>
      <c r="R10" s="10">
        <f t="shared" si="5"/>
        <v>1280.4480000000001</v>
      </c>
      <c r="S10" s="11">
        <f t="shared" si="6"/>
        <v>0.36705902933973106</v>
      </c>
      <c r="T10" s="10">
        <f t="shared" si="7"/>
        <v>799.93748667981799</v>
      </c>
      <c r="U10">
        <v>519</v>
      </c>
      <c r="V10" s="11">
        <f t="shared" si="8"/>
        <v>0.90558766859344897</v>
      </c>
      <c r="W10">
        <v>439</v>
      </c>
      <c r="X10" s="11">
        <f t="shared" si="19"/>
        <v>1.070615034168565</v>
      </c>
      <c r="Y10">
        <v>45</v>
      </c>
      <c r="Z10">
        <v>0</v>
      </c>
      <c r="AA10" s="11">
        <f t="shared" si="20"/>
        <v>0.62134502923976609</v>
      </c>
      <c r="AC10">
        <f t="shared" si="9"/>
        <v>90</v>
      </c>
      <c r="AD10">
        <f t="shared" si="10"/>
        <v>140</v>
      </c>
      <c r="AE10">
        <f t="shared" si="11"/>
        <v>12600</v>
      </c>
      <c r="AF10">
        <f t="shared" si="12"/>
        <v>2400</v>
      </c>
      <c r="AG10">
        <f t="shared" si="13"/>
        <v>1000973312.7911319</v>
      </c>
      <c r="AH10">
        <f t="shared" si="14"/>
        <v>1142.9509247647218</v>
      </c>
      <c r="AI10">
        <f t="shared" si="15"/>
        <v>1.1502864744007577</v>
      </c>
      <c r="AJ10">
        <f t="shared" si="16"/>
        <v>0.62473250509182565</v>
      </c>
    </row>
    <row r="11" spans="1:36">
      <c r="A11" s="2" t="s">
        <v>68</v>
      </c>
      <c r="B11">
        <v>100</v>
      </c>
      <c r="C11">
        <v>150</v>
      </c>
      <c r="D11">
        <v>5</v>
      </c>
      <c r="E11">
        <v>321.60000000000002</v>
      </c>
      <c r="F11">
        <v>203</v>
      </c>
      <c r="G11">
        <v>47.4</v>
      </c>
      <c r="H11">
        <f t="shared" si="0"/>
        <v>37.92</v>
      </c>
      <c r="I11" s="8">
        <f t="shared" si="1"/>
        <v>34.755476303545159</v>
      </c>
      <c r="J11">
        <v>2940</v>
      </c>
      <c r="K11" s="8">
        <f t="shared" si="2"/>
        <v>29.4</v>
      </c>
      <c r="L11" s="9">
        <f t="shared" si="3"/>
        <v>1.0522885819991259</v>
      </c>
      <c r="M11" s="8">
        <f t="shared" si="17"/>
        <v>30</v>
      </c>
      <c r="N11" s="11">
        <f t="shared" si="18"/>
        <v>0.67490399669798018</v>
      </c>
      <c r="O11">
        <v>339</v>
      </c>
      <c r="P11">
        <v>37.1</v>
      </c>
      <c r="Q11" s="11">
        <f t="shared" si="4"/>
        <v>25.425000000000001</v>
      </c>
      <c r="R11" s="10">
        <f t="shared" si="5"/>
        <v>1249.6320000000001</v>
      </c>
      <c r="S11" s="11">
        <f t="shared" si="6"/>
        <v>0.27127986479219479</v>
      </c>
      <c r="T11" s="10">
        <f t="shared" si="7"/>
        <v>786.04672077647217</v>
      </c>
      <c r="U11">
        <v>373</v>
      </c>
      <c r="V11" s="11">
        <f t="shared" si="8"/>
        <v>0.90884718498659522</v>
      </c>
      <c r="W11">
        <v>330</v>
      </c>
      <c r="X11" s="11">
        <f t="shared" si="19"/>
        <v>1.0272727272727273</v>
      </c>
      <c r="Y11">
        <v>75</v>
      </c>
      <c r="Z11">
        <v>0</v>
      </c>
      <c r="AA11" s="11">
        <f t="shared" si="20"/>
        <v>0.61765383728969814</v>
      </c>
      <c r="AC11">
        <f t="shared" si="9"/>
        <v>90</v>
      </c>
      <c r="AD11">
        <f t="shared" si="10"/>
        <v>140</v>
      </c>
      <c r="AE11">
        <f t="shared" si="11"/>
        <v>12600</v>
      </c>
      <c r="AF11">
        <f t="shared" si="12"/>
        <v>2400</v>
      </c>
      <c r="AG11">
        <f t="shared" si="13"/>
        <v>988342195.57699096</v>
      </c>
      <c r="AH11">
        <f t="shared" si="14"/>
        <v>1128.5282154714457</v>
      </c>
      <c r="AI11">
        <f t="shared" si="15"/>
        <v>1.1431459310127736</v>
      </c>
      <c r="AJ11">
        <f t="shared" si="16"/>
        <v>0.62902256086309583</v>
      </c>
    </row>
    <row r="12" spans="1:36">
      <c r="A12">
        <v>2</v>
      </c>
      <c r="B12">
        <v>100</v>
      </c>
      <c r="C12">
        <v>150</v>
      </c>
      <c r="D12">
        <v>5</v>
      </c>
      <c r="E12">
        <v>360.8</v>
      </c>
      <c r="F12">
        <v>205</v>
      </c>
      <c r="G12">
        <v>47</v>
      </c>
      <c r="H12">
        <f t="shared" si="0"/>
        <v>37.6</v>
      </c>
      <c r="I12" s="8">
        <f t="shared" si="1"/>
        <v>34.682638849705768</v>
      </c>
      <c r="J12">
        <v>4000</v>
      </c>
      <c r="K12" s="8">
        <f t="shared" si="2"/>
        <v>40</v>
      </c>
      <c r="L12" s="9">
        <f t="shared" si="3"/>
        <v>1.4766908945213992</v>
      </c>
      <c r="M12" s="8">
        <f t="shared" si="17"/>
        <v>30</v>
      </c>
      <c r="N12" s="11">
        <f t="shared" si="18"/>
        <v>0.71485382346397408</v>
      </c>
      <c r="O12">
        <v>667</v>
      </c>
      <c r="P12">
        <v>6.5</v>
      </c>
      <c r="Q12" s="11">
        <f t="shared" si="4"/>
        <v>4.0019999999999998</v>
      </c>
      <c r="R12" s="10">
        <f t="shared" si="5"/>
        <v>1339.68</v>
      </c>
      <c r="S12" s="11">
        <f t="shared" si="6"/>
        <v>0.49788009076794454</v>
      </c>
      <c r="T12" s="10">
        <f t="shared" si="7"/>
        <v>512.35382045369238</v>
      </c>
      <c r="U12">
        <v>685</v>
      </c>
      <c r="V12" s="11">
        <f t="shared" si="8"/>
        <v>0.97372262773722629</v>
      </c>
      <c r="W12">
        <v>466</v>
      </c>
      <c r="X12" s="11">
        <f t="shared" si="19"/>
        <v>1.4313304721030042</v>
      </c>
      <c r="Y12">
        <v>6</v>
      </c>
      <c r="Z12">
        <v>0</v>
      </c>
      <c r="AA12" s="11">
        <f t="shared" si="20"/>
        <v>0.64636331064134722</v>
      </c>
      <c r="AC12">
        <f t="shared" si="9"/>
        <v>90</v>
      </c>
      <c r="AD12">
        <f t="shared" si="10"/>
        <v>140</v>
      </c>
      <c r="AE12">
        <f t="shared" si="11"/>
        <v>12600</v>
      </c>
      <c r="AF12">
        <f t="shared" si="12"/>
        <v>2400</v>
      </c>
      <c r="AG12">
        <f t="shared" si="13"/>
        <v>995960506.05004847</v>
      </c>
      <c r="AH12">
        <f t="shared" si="14"/>
        <v>614.35851211392139</v>
      </c>
      <c r="AI12">
        <f t="shared" si="15"/>
        <v>1.7243605429059521</v>
      </c>
      <c r="AJ12">
        <f t="shared" si="16"/>
        <v>0.38244492748543857</v>
      </c>
    </row>
    <row r="13" spans="1:36">
      <c r="A13">
        <v>3</v>
      </c>
      <c r="B13">
        <v>100</v>
      </c>
      <c r="C13">
        <v>150</v>
      </c>
      <c r="D13">
        <v>5</v>
      </c>
      <c r="E13">
        <v>355.5</v>
      </c>
      <c r="F13">
        <v>205</v>
      </c>
      <c r="G13">
        <v>47.7</v>
      </c>
      <c r="H13">
        <f t="shared" si="0"/>
        <v>38.160000000000004</v>
      </c>
      <c r="I13" s="8">
        <f t="shared" si="1"/>
        <v>34.809871561665346</v>
      </c>
      <c r="J13">
        <v>4000</v>
      </c>
      <c r="K13" s="8">
        <f t="shared" si="2"/>
        <v>40</v>
      </c>
      <c r="L13" s="9">
        <f t="shared" si="3"/>
        <v>1.4730858800688764</v>
      </c>
      <c r="M13" s="8">
        <f t="shared" si="17"/>
        <v>30</v>
      </c>
      <c r="N13" s="11">
        <f t="shared" si="18"/>
        <v>0.70958394804822778</v>
      </c>
      <c r="O13">
        <v>650</v>
      </c>
      <c r="P13">
        <v>17.399999999999999</v>
      </c>
      <c r="Q13" s="11">
        <f t="shared" si="4"/>
        <v>9.75</v>
      </c>
      <c r="R13" s="10">
        <f t="shared" si="5"/>
        <v>1334.0160000000001</v>
      </c>
      <c r="S13" s="11">
        <f t="shared" si="6"/>
        <v>0.48725052772980232</v>
      </c>
      <c r="T13" s="10">
        <f t="shared" si="7"/>
        <v>512.2938834983745</v>
      </c>
      <c r="U13">
        <v>590</v>
      </c>
      <c r="V13" s="11">
        <f t="shared" si="8"/>
        <v>1.1016949152542372</v>
      </c>
      <c r="W13">
        <v>408</v>
      </c>
      <c r="X13" s="11">
        <f t="shared" si="19"/>
        <v>1.5931372549019607</v>
      </c>
      <c r="Y13">
        <v>15</v>
      </c>
      <c r="Z13">
        <v>0</v>
      </c>
      <c r="AA13" s="11">
        <f t="shared" si="20"/>
        <v>0.63957253886010368</v>
      </c>
      <c r="AC13">
        <f t="shared" si="9"/>
        <v>90</v>
      </c>
      <c r="AD13">
        <f t="shared" si="10"/>
        <v>140</v>
      </c>
      <c r="AE13">
        <f t="shared" si="11"/>
        <v>12600</v>
      </c>
      <c r="AF13">
        <f t="shared" si="12"/>
        <v>2400</v>
      </c>
      <c r="AG13">
        <f t="shared" si="13"/>
        <v>996609774.57917821</v>
      </c>
      <c r="AH13">
        <f t="shared" si="14"/>
        <v>614.7590135847081</v>
      </c>
      <c r="AI13">
        <f t="shared" si="15"/>
        <v>1.71866502243638</v>
      </c>
      <c r="AJ13">
        <f t="shared" si="16"/>
        <v>0.38402379244205054</v>
      </c>
    </row>
    <row r="14" spans="1:36">
      <c r="A14">
        <v>4</v>
      </c>
      <c r="B14">
        <v>100</v>
      </c>
      <c r="C14">
        <v>150</v>
      </c>
      <c r="D14">
        <v>5</v>
      </c>
      <c r="E14">
        <v>350.5</v>
      </c>
      <c r="F14">
        <v>205</v>
      </c>
      <c r="G14">
        <v>48.3</v>
      </c>
      <c r="H14">
        <f t="shared" si="0"/>
        <v>38.64</v>
      </c>
      <c r="I14" s="8">
        <f t="shared" si="1"/>
        <v>34.918070971262964</v>
      </c>
      <c r="J14">
        <v>4000</v>
      </c>
      <c r="K14" s="8">
        <f t="shared" si="2"/>
        <v>40</v>
      </c>
      <c r="L14" s="9">
        <f t="shared" si="3"/>
        <v>1.469388982205923</v>
      </c>
      <c r="M14" s="8">
        <f t="shared" si="17"/>
        <v>30</v>
      </c>
      <c r="N14" s="11">
        <f t="shared" si="18"/>
        <v>0.70457623587811258</v>
      </c>
      <c r="O14">
        <v>443</v>
      </c>
      <c r="P14">
        <v>38</v>
      </c>
      <c r="Q14" s="11">
        <f t="shared" si="4"/>
        <v>19.934999999999999</v>
      </c>
      <c r="R14" s="10">
        <f t="shared" si="5"/>
        <v>1328.0640000000001</v>
      </c>
      <c r="S14" s="11">
        <f t="shared" si="6"/>
        <v>0.33356826177051707</v>
      </c>
      <c r="T14" s="10">
        <f t="shared" si="7"/>
        <v>512.17007718686</v>
      </c>
      <c r="U14">
        <v>402</v>
      </c>
      <c r="V14" s="11">
        <f t="shared" si="8"/>
        <v>1.1019900497512438</v>
      </c>
      <c r="W14">
        <v>302</v>
      </c>
      <c r="X14" s="11">
        <f t="shared" si="19"/>
        <v>1.4668874172185431</v>
      </c>
      <c r="Y14">
        <v>45</v>
      </c>
      <c r="Z14">
        <v>0</v>
      </c>
      <c r="AA14" s="11">
        <f t="shared" si="20"/>
        <v>0.63340320948388029</v>
      </c>
      <c r="AC14">
        <f t="shared" si="9"/>
        <v>90</v>
      </c>
      <c r="AD14">
        <f t="shared" si="10"/>
        <v>140</v>
      </c>
      <c r="AE14">
        <f t="shared" si="11"/>
        <v>12600</v>
      </c>
      <c r="AF14">
        <f t="shared" si="12"/>
        <v>2400</v>
      </c>
      <c r="AG14">
        <f t="shared" si="13"/>
        <v>997161916.16635478</v>
      </c>
      <c r="AH14">
        <f t="shared" si="14"/>
        <v>615.09960227463444</v>
      </c>
      <c r="AI14">
        <f t="shared" si="15"/>
        <v>1.7128378336457011</v>
      </c>
      <c r="AJ14">
        <f t="shared" si="16"/>
        <v>0.385651653223685</v>
      </c>
    </row>
    <row r="15" spans="1:36">
      <c r="A15">
        <v>5</v>
      </c>
      <c r="B15">
        <v>100</v>
      </c>
      <c r="C15">
        <v>150</v>
      </c>
      <c r="D15">
        <v>5</v>
      </c>
      <c r="E15">
        <v>342.5</v>
      </c>
      <c r="F15">
        <v>205</v>
      </c>
      <c r="G15">
        <v>48.2</v>
      </c>
      <c r="H15">
        <f t="shared" si="0"/>
        <v>38.56</v>
      </c>
      <c r="I15" s="8">
        <f t="shared" si="1"/>
        <v>34.90009204114714</v>
      </c>
      <c r="J15">
        <v>4000</v>
      </c>
      <c r="K15" s="8">
        <f t="shared" si="2"/>
        <v>40</v>
      </c>
      <c r="L15" s="9">
        <f t="shared" si="3"/>
        <v>1.458234005372893</v>
      </c>
      <c r="M15" s="8">
        <f t="shared" si="17"/>
        <v>30</v>
      </c>
      <c r="N15" s="11">
        <f t="shared" si="18"/>
        <v>0.69648900974997829</v>
      </c>
      <c r="O15">
        <v>344</v>
      </c>
      <c r="P15">
        <v>50.1</v>
      </c>
      <c r="Q15" s="11">
        <f t="shared" si="4"/>
        <v>25.8</v>
      </c>
      <c r="R15" s="10">
        <f t="shared" si="5"/>
        <v>1307.856</v>
      </c>
      <c r="S15" s="11">
        <f t="shared" si="6"/>
        <v>0.2630258988757172</v>
      </c>
      <c r="T15" s="10">
        <f t="shared" si="7"/>
        <v>510.87167139669441</v>
      </c>
      <c r="U15">
        <v>306</v>
      </c>
      <c r="V15" s="11">
        <f t="shared" si="8"/>
        <v>1.1241830065359477</v>
      </c>
      <c r="W15">
        <v>241</v>
      </c>
      <c r="X15" s="11">
        <f t="shared" si="19"/>
        <v>1.4273858921161826</v>
      </c>
      <c r="Y15">
        <v>75</v>
      </c>
      <c r="Z15">
        <v>0</v>
      </c>
      <c r="AA15" s="11">
        <f t="shared" si="20"/>
        <v>0.62850956068558006</v>
      </c>
      <c r="AC15">
        <f t="shared" si="9"/>
        <v>90</v>
      </c>
      <c r="AD15">
        <f t="shared" si="10"/>
        <v>140</v>
      </c>
      <c r="AE15">
        <f t="shared" si="11"/>
        <v>12600</v>
      </c>
      <c r="AF15">
        <f t="shared" si="12"/>
        <v>2400</v>
      </c>
      <c r="AG15">
        <f t="shared" si="13"/>
        <v>997070169.68597376</v>
      </c>
      <c r="AH15">
        <f t="shared" si="14"/>
        <v>615.04300843297494</v>
      </c>
      <c r="AI15">
        <f t="shared" si="15"/>
        <v>1.695337777777089</v>
      </c>
      <c r="AJ15">
        <f t="shared" si="16"/>
        <v>0.39061767610248715</v>
      </c>
    </row>
    <row r="16" spans="1:36">
      <c r="A16">
        <v>6</v>
      </c>
      <c r="B16">
        <v>100</v>
      </c>
      <c r="C16">
        <v>150</v>
      </c>
      <c r="D16">
        <v>5</v>
      </c>
      <c r="E16">
        <v>360.8</v>
      </c>
      <c r="F16">
        <v>205</v>
      </c>
      <c r="G16">
        <v>45.7</v>
      </c>
      <c r="H16">
        <f t="shared" si="0"/>
        <v>36.56</v>
      </c>
      <c r="I16" s="8">
        <f t="shared" si="1"/>
        <v>34.443417464296942</v>
      </c>
      <c r="J16">
        <v>4910</v>
      </c>
      <c r="K16" s="8">
        <f t="shared" si="2"/>
        <v>49.1</v>
      </c>
      <c r="L16" s="9">
        <f t="shared" si="3"/>
        <v>1.8048576266591456</v>
      </c>
      <c r="M16" s="8">
        <f t="shared" si="17"/>
        <v>30</v>
      </c>
      <c r="N16" s="11">
        <f t="shared" si="18"/>
        <v>0.71485382346397408</v>
      </c>
      <c r="O16">
        <v>536</v>
      </c>
      <c r="P16">
        <v>12.5</v>
      </c>
      <c r="Q16" s="11">
        <f t="shared" si="4"/>
        <v>3.2160000000000002</v>
      </c>
      <c r="R16" s="10">
        <f t="shared" si="5"/>
        <v>1326.576</v>
      </c>
      <c r="S16" s="11">
        <f t="shared" si="6"/>
        <v>0.40404771381360738</v>
      </c>
      <c r="T16" s="10">
        <f t="shared" si="7"/>
        <v>356.74993822060128</v>
      </c>
      <c r="U16">
        <v>523</v>
      </c>
      <c r="V16" s="11">
        <f t="shared" si="8"/>
        <v>1.0248565965583174</v>
      </c>
      <c r="W16">
        <v>329</v>
      </c>
      <c r="X16" s="11">
        <f t="shared" si="19"/>
        <v>1.6291793313069909</v>
      </c>
      <c r="Y16">
        <v>6</v>
      </c>
      <c r="Z16">
        <v>0</v>
      </c>
      <c r="AA16" s="11">
        <f t="shared" si="20"/>
        <v>0.65274812751022182</v>
      </c>
      <c r="AC16">
        <f t="shared" si="9"/>
        <v>90</v>
      </c>
      <c r="AD16">
        <f t="shared" si="10"/>
        <v>140</v>
      </c>
      <c r="AE16">
        <f t="shared" si="11"/>
        <v>12600</v>
      </c>
      <c r="AF16">
        <f t="shared" si="12"/>
        <v>2400</v>
      </c>
      <c r="AG16">
        <f t="shared" si="13"/>
        <v>994739759.32030725</v>
      </c>
      <c r="AH16">
        <f t="shared" si="14"/>
        <v>407.23607030526148</v>
      </c>
      <c r="AI16">
        <f t="shared" si="15"/>
        <v>2.297265577054052</v>
      </c>
      <c r="AJ16">
        <f t="shared" si="16"/>
        <v>0.26892536742757389</v>
      </c>
    </row>
    <row r="17" spans="1:36">
      <c r="A17">
        <v>7</v>
      </c>
      <c r="B17">
        <v>100</v>
      </c>
      <c r="C17">
        <v>150</v>
      </c>
      <c r="D17">
        <v>5</v>
      </c>
      <c r="E17">
        <v>342.5</v>
      </c>
      <c r="F17">
        <v>205</v>
      </c>
      <c r="G17">
        <v>46.3</v>
      </c>
      <c r="H17">
        <f t="shared" si="0"/>
        <v>37.04</v>
      </c>
      <c r="I17" s="8">
        <f t="shared" si="1"/>
        <v>34.554307630688179</v>
      </c>
      <c r="J17">
        <v>4910</v>
      </c>
      <c r="K17" s="8">
        <f t="shared" si="2"/>
        <v>49.1</v>
      </c>
      <c r="L17" s="9">
        <f t="shared" si="3"/>
        <v>1.7784021590687149</v>
      </c>
      <c r="M17" s="8">
        <f t="shared" si="17"/>
        <v>30</v>
      </c>
      <c r="N17" s="11">
        <f t="shared" si="18"/>
        <v>0.69648900974997829</v>
      </c>
      <c r="O17">
        <v>558</v>
      </c>
      <c r="P17">
        <v>33.4</v>
      </c>
      <c r="Q17" s="11">
        <f t="shared" si="4"/>
        <v>8.3699999999999992</v>
      </c>
      <c r="R17" s="10">
        <f t="shared" si="5"/>
        <v>1288.704</v>
      </c>
      <c r="S17" s="11">
        <f t="shared" si="6"/>
        <v>0.43299314660309896</v>
      </c>
      <c r="T17" s="10">
        <f t="shared" si="7"/>
        <v>355.9306884296459</v>
      </c>
      <c r="U17">
        <v>440</v>
      </c>
      <c r="V17" s="11">
        <f t="shared" si="8"/>
        <v>1.2681818181818181</v>
      </c>
      <c r="W17">
        <v>291</v>
      </c>
      <c r="X17" s="11">
        <f t="shared" si="19"/>
        <v>1.9175257731958764</v>
      </c>
      <c r="Y17">
        <v>15</v>
      </c>
      <c r="Z17">
        <v>0</v>
      </c>
      <c r="AA17" s="11">
        <f t="shared" si="20"/>
        <v>0.63785011918951129</v>
      </c>
      <c r="AC17">
        <f t="shared" si="9"/>
        <v>90</v>
      </c>
      <c r="AD17">
        <f t="shared" si="10"/>
        <v>140</v>
      </c>
      <c r="AE17">
        <f t="shared" si="11"/>
        <v>12600</v>
      </c>
      <c r="AF17">
        <f t="shared" si="12"/>
        <v>2400</v>
      </c>
      <c r="AG17">
        <f t="shared" si="13"/>
        <v>995305631.83940172</v>
      </c>
      <c r="AH17">
        <f t="shared" si="14"/>
        <v>407.46773260568784</v>
      </c>
      <c r="AI17">
        <f t="shared" si="15"/>
        <v>2.2470893463923485</v>
      </c>
      <c r="AJ17">
        <f t="shared" si="16"/>
        <v>0.27619273970566238</v>
      </c>
    </row>
    <row r="18" spans="1:36">
      <c r="A18">
        <v>8</v>
      </c>
      <c r="B18">
        <v>100</v>
      </c>
      <c r="C18">
        <v>150</v>
      </c>
      <c r="D18">
        <v>5</v>
      </c>
      <c r="E18">
        <v>368</v>
      </c>
      <c r="F18">
        <v>205</v>
      </c>
      <c r="G18">
        <v>47.3</v>
      </c>
      <c r="H18">
        <f t="shared" si="0"/>
        <v>37.839999999999996</v>
      </c>
      <c r="I18" s="8">
        <f t="shared" si="1"/>
        <v>34.73730033336394</v>
      </c>
      <c r="J18">
        <v>4910</v>
      </c>
      <c r="K18" s="8">
        <f t="shared" si="2"/>
        <v>49.1</v>
      </c>
      <c r="L18" s="9">
        <f t="shared" si="3"/>
        <v>1.8260667667281596</v>
      </c>
      <c r="M18" s="8">
        <f t="shared" si="17"/>
        <v>30</v>
      </c>
      <c r="N18" s="11">
        <f t="shared" si="18"/>
        <v>0.72195127760574018</v>
      </c>
      <c r="O18">
        <v>356</v>
      </c>
      <c r="P18">
        <v>42.5</v>
      </c>
      <c r="Q18" s="11">
        <f t="shared" si="4"/>
        <v>16.02</v>
      </c>
      <c r="R18" s="10">
        <f t="shared" si="5"/>
        <v>1359.9839999999999</v>
      </c>
      <c r="S18" s="11">
        <f t="shared" si="6"/>
        <v>0.26176778550335889</v>
      </c>
      <c r="T18" s="10">
        <f t="shared" si="7"/>
        <v>358.07573327397512</v>
      </c>
      <c r="U18">
        <v>321</v>
      </c>
      <c r="V18" s="11">
        <f t="shared" si="8"/>
        <v>1.1090342679127725</v>
      </c>
      <c r="W18">
        <v>233</v>
      </c>
      <c r="X18" s="11">
        <f t="shared" si="19"/>
        <v>1.5278969957081545</v>
      </c>
      <c r="Y18">
        <v>45</v>
      </c>
      <c r="Z18">
        <v>0</v>
      </c>
      <c r="AA18" s="11">
        <f t="shared" si="20"/>
        <v>0.64941940493417571</v>
      </c>
      <c r="AC18">
        <f t="shared" si="9"/>
        <v>90</v>
      </c>
      <c r="AD18">
        <f t="shared" si="10"/>
        <v>140</v>
      </c>
      <c r="AE18">
        <f t="shared" si="11"/>
        <v>12600</v>
      </c>
      <c r="AF18">
        <f t="shared" si="12"/>
        <v>2400</v>
      </c>
      <c r="AG18">
        <f t="shared" si="13"/>
        <v>996239443.60115623</v>
      </c>
      <c r="AH18">
        <f t="shared" si="14"/>
        <v>407.85002539000516</v>
      </c>
      <c r="AI18">
        <f t="shared" si="15"/>
        <v>2.3379969287809743</v>
      </c>
      <c r="AJ18">
        <f t="shared" si="16"/>
        <v>0.26329407792589848</v>
      </c>
    </row>
    <row r="19" spans="1:36">
      <c r="A19">
        <v>9</v>
      </c>
      <c r="B19">
        <v>100</v>
      </c>
      <c r="C19">
        <v>150</v>
      </c>
      <c r="D19">
        <v>5</v>
      </c>
      <c r="E19">
        <v>350.5</v>
      </c>
      <c r="F19">
        <v>205</v>
      </c>
      <c r="G19">
        <v>47.5</v>
      </c>
      <c r="H19">
        <f t="shared" si="0"/>
        <v>38</v>
      </c>
      <c r="I19" s="8">
        <f t="shared" si="1"/>
        <v>34.77363012140421</v>
      </c>
      <c r="J19">
        <v>4910</v>
      </c>
      <c r="K19" s="8">
        <f t="shared" si="2"/>
        <v>49.1</v>
      </c>
      <c r="L19" s="9">
        <f t="shared" si="3"/>
        <v>1.7988556452559548</v>
      </c>
      <c r="M19" s="8">
        <f t="shared" si="17"/>
        <v>30</v>
      </c>
      <c r="N19" s="11">
        <f t="shared" si="18"/>
        <v>0.70457623587811258</v>
      </c>
      <c r="O19">
        <v>293</v>
      </c>
      <c r="P19">
        <v>67.5</v>
      </c>
      <c r="Q19" s="11">
        <f t="shared" si="4"/>
        <v>21.975000000000001</v>
      </c>
      <c r="R19" s="10">
        <f t="shared" si="5"/>
        <v>1320</v>
      </c>
      <c r="S19" s="11">
        <f t="shared" si="6"/>
        <v>0.22196969696969698</v>
      </c>
      <c r="T19" s="10">
        <f t="shared" si="7"/>
        <v>357.1261161161861</v>
      </c>
      <c r="U19">
        <v>251</v>
      </c>
      <c r="V19" s="11">
        <f t="shared" si="8"/>
        <v>1.1673306772908367</v>
      </c>
      <c r="W19">
        <v>191</v>
      </c>
      <c r="X19" s="11">
        <f t="shared" si="19"/>
        <v>1.5340314136125655</v>
      </c>
      <c r="Y19">
        <v>75</v>
      </c>
      <c r="Z19">
        <v>0</v>
      </c>
      <c r="AA19" s="11">
        <f t="shared" si="20"/>
        <v>0.63727272727272732</v>
      </c>
      <c r="AC19">
        <f t="shared" si="9"/>
        <v>90</v>
      </c>
      <c r="AD19">
        <f t="shared" si="10"/>
        <v>140</v>
      </c>
      <c r="AE19">
        <f t="shared" si="11"/>
        <v>12600</v>
      </c>
      <c r="AF19">
        <f t="shared" si="12"/>
        <v>2400</v>
      </c>
      <c r="AG19">
        <f t="shared" si="13"/>
        <v>996424834.50952566</v>
      </c>
      <c r="AH19">
        <f t="shared" si="14"/>
        <v>407.9259224920234</v>
      </c>
      <c r="AI19">
        <f t="shared" si="15"/>
        <v>2.2858206589864842</v>
      </c>
      <c r="AJ19">
        <f t="shared" si="16"/>
        <v>0.27055008796680763</v>
      </c>
    </row>
    <row r="20" spans="1:36">
      <c r="A20" s="2" t="s">
        <v>69</v>
      </c>
      <c r="B20">
        <v>100</v>
      </c>
      <c r="C20">
        <v>150</v>
      </c>
      <c r="D20">
        <v>5</v>
      </c>
      <c r="E20">
        <v>324.3</v>
      </c>
      <c r="F20">
        <v>202</v>
      </c>
      <c r="G20">
        <v>51.5</v>
      </c>
      <c r="H20">
        <f t="shared" si="0"/>
        <v>41.2</v>
      </c>
      <c r="I20" s="8">
        <f t="shared" si="1"/>
        <v>35.482336614757926</v>
      </c>
      <c r="J20">
        <v>2940</v>
      </c>
      <c r="K20" s="8">
        <f t="shared" si="2"/>
        <v>29.4</v>
      </c>
      <c r="L20" s="9">
        <f t="shared" si="3"/>
        <v>1.0723837870397315</v>
      </c>
      <c r="M20" s="8">
        <f t="shared" si="17"/>
        <v>30</v>
      </c>
      <c r="N20" s="11">
        <f t="shared" si="18"/>
        <v>0.67773116102715758</v>
      </c>
      <c r="O20">
        <v>402</v>
      </c>
      <c r="P20">
        <v>25.8</v>
      </c>
      <c r="Q20" s="11">
        <f>Z20*O20/1000</f>
        <v>12.06</v>
      </c>
      <c r="R20" s="10">
        <f t="shared" si="5"/>
        <v>1297.44</v>
      </c>
      <c r="S20" s="11">
        <f t="shared" si="6"/>
        <v>0.30984091749907511</v>
      </c>
      <c r="T20" s="10">
        <f t="shared" si="7"/>
        <v>797.98029911184426</v>
      </c>
      <c r="U20">
        <v>401</v>
      </c>
      <c r="V20" s="11">
        <f t="shared" si="8"/>
        <v>1.0024937655860349</v>
      </c>
      <c r="W20">
        <v>434</v>
      </c>
      <c r="X20" s="11">
        <f t="shared" si="19"/>
        <v>0.92626728110599077</v>
      </c>
      <c r="Y20">
        <v>0</v>
      </c>
      <c r="Z20">
        <v>30</v>
      </c>
      <c r="AA20" s="11">
        <f t="shared" si="20"/>
        <v>0.59988901220865709</v>
      </c>
      <c r="AC20">
        <f t="shared" si="9"/>
        <v>90</v>
      </c>
      <c r="AD20">
        <f t="shared" si="10"/>
        <v>140</v>
      </c>
      <c r="AE20">
        <f t="shared" si="11"/>
        <v>12600</v>
      </c>
      <c r="AF20">
        <f t="shared" si="12"/>
        <v>2400</v>
      </c>
      <c r="AG20">
        <f t="shared" si="13"/>
        <v>988056363.74510968</v>
      </c>
      <c r="AH20">
        <f t="shared" si="14"/>
        <v>1128.2018413789488</v>
      </c>
      <c r="AI20">
        <f t="shared" si="15"/>
        <v>1.1666037909920099</v>
      </c>
      <c r="AJ20">
        <f t="shared" si="16"/>
        <v>0.61504215926119454</v>
      </c>
    </row>
    <row r="21" spans="1:36">
      <c r="A21">
        <v>10</v>
      </c>
      <c r="B21">
        <v>100</v>
      </c>
      <c r="C21">
        <v>150</v>
      </c>
      <c r="D21">
        <v>5</v>
      </c>
      <c r="E21">
        <v>368</v>
      </c>
      <c r="F21">
        <v>205</v>
      </c>
      <c r="G21">
        <v>45.7</v>
      </c>
      <c r="H21">
        <f t="shared" si="0"/>
        <v>36.56</v>
      </c>
      <c r="I21" s="8">
        <f t="shared" si="1"/>
        <v>34.443417464296942</v>
      </c>
      <c r="J21">
        <v>4000</v>
      </c>
      <c r="K21" s="8">
        <f t="shared" si="2"/>
        <v>40</v>
      </c>
      <c r="L21" s="9">
        <f t="shared" si="3"/>
        <v>1.4798978783046743</v>
      </c>
      <c r="M21" s="8">
        <f t="shared" si="17"/>
        <v>30</v>
      </c>
      <c r="N21" s="11">
        <f t="shared" si="18"/>
        <v>0.72195127760574018</v>
      </c>
      <c r="O21">
        <v>349</v>
      </c>
      <c r="P21">
        <v>44.6</v>
      </c>
      <c r="Q21" s="11">
        <f>Z21*O21/1000</f>
        <v>10.47</v>
      </c>
      <c r="R21" s="10">
        <f t="shared" si="5"/>
        <v>1343.856</v>
      </c>
      <c r="S21" s="11">
        <f t="shared" si="6"/>
        <v>0.25970044409520066</v>
      </c>
      <c r="T21" s="10">
        <f t="shared" si="7"/>
        <v>512.07288736916394</v>
      </c>
      <c r="U21">
        <v>278</v>
      </c>
      <c r="V21" s="11">
        <f t="shared" si="8"/>
        <v>1.2553956834532374</v>
      </c>
      <c r="W21">
        <v>298</v>
      </c>
      <c r="X21" s="11">
        <f t="shared" si="19"/>
        <v>1.1711409395973154</v>
      </c>
      <c r="Y21">
        <v>0</v>
      </c>
      <c r="Z21">
        <v>30</v>
      </c>
      <c r="AA21" s="11">
        <f t="shared" si="20"/>
        <v>0.65721327285066256</v>
      </c>
      <c r="AC21">
        <f t="shared" si="9"/>
        <v>90</v>
      </c>
      <c r="AD21">
        <f t="shared" si="10"/>
        <v>140</v>
      </c>
      <c r="AE21">
        <f t="shared" si="11"/>
        <v>12600</v>
      </c>
      <c r="AF21">
        <f t="shared" si="12"/>
        <v>2400</v>
      </c>
      <c r="AG21">
        <f t="shared" si="13"/>
        <v>994739759.32030725</v>
      </c>
      <c r="AH21">
        <f t="shared" si="14"/>
        <v>613.60549415789205</v>
      </c>
      <c r="AI21">
        <f t="shared" si="15"/>
        <v>1.7294381423273291</v>
      </c>
      <c r="AJ21">
        <f t="shared" si="16"/>
        <v>0.38104743913720218</v>
      </c>
    </row>
    <row r="22" spans="1:36">
      <c r="A22">
        <v>11</v>
      </c>
      <c r="B22">
        <v>100</v>
      </c>
      <c r="C22">
        <v>150</v>
      </c>
      <c r="D22">
        <v>5</v>
      </c>
      <c r="E22">
        <v>355.5</v>
      </c>
      <c r="F22">
        <v>205</v>
      </c>
      <c r="G22">
        <v>47.2</v>
      </c>
      <c r="H22">
        <f t="shared" si="0"/>
        <v>37.760000000000005</v>
      </c>
      <c r="I22" s="8">
        <f t="shared" si="1"/>
        <v>34.719102145097914</v>
      </c>
      <c r="J22">
        <v>4910</v>
      </c>
      <c r="K22" s="8">
        <f t="shared" si="2"/>
        <v>49.1</v>
      </c>
      <c r="L22" s="9">
        <f t="shared" si="3"/>
        <v>1.8052134669878932</v>
      </c>
      <c r="M22" s="8">
        <f t="shared" si="17"/>
        <v>30</v>
      </c>
      <c r="N22" s="11">
        <f t="shared" si="18"/>
        <v>0.70958394804822778</v>
      </c>
      <c r="O22">
        <v>273</v>
      </c>
      <c r="P22">
        <v>69.7</v>
      </c>
      <c r="Q22" s="11">
        <f>Z22*O22/1000</f>
        <v>8.19</v>
      </c>
      <c r="R22" s="10">
        <f t="shared" si="5"/>
        <v>1328.9760000000001</v>
      </c>
      <c r="S22" s="11">
        <f t="shared" si="6"/>
        <v>0.20542131686350992</v>
      </c>
      <c r="T22" s="10">
        <f t="shared" si="7"/>
        <v>357.26792517098858</v>
      </c>
      <c r="U22">
        <v>207</v>
      </c>
      <c r="V22" s="11">
        <f t="shared" si="8"/>
        <v>1.318840579710145</v>
      </c>
      <c r="W22">
        <v>224</v>
      </c>
      <c r="X22" s="11">
        <f t="shared" si="19"/>
        <v>1.21875</v>
      </c>
      <c r="Y22">
        <v>0</v>
      </c>
      <c r="Z22">
        <v>30</v>
      </c>
      <c r="AA22" s="11">
        <f t="shared" si="20"/>
        <v>0.64199804962617835</v>
      </c>
      <c r="AC22">
        <f t="shared" si="9"/>
        <v>90</v>
      </c>
      <c r="AD22">
        <f t="shared" si="10"/>
        <v>140</v>
      </c>
      <c r="AE22">
        <f t="shared" si="11"/>
        <v>12600</v>
      </c>
      <c r="AF22">
        <f t="shared" si="12"/>
        <v>2400</v>
      </c>
      <c r="AG22">
        <f t="shared" si="13"/>
        <v>996146578.24643469</v>
      </c>
      <c r="AH22">
        <f t="shared" si="14"/>
        <v>407.81200728349046</v>
      </c>
      <c r="AI22">
        <f t="shared" si="15"/>
        <v>2.2979452447309536</v>
      </c>
      <c r="AJ22">
        <f t="shared" si="16"/>
        <v>0.26882947861435313</v>
      </c>
    </row>
    <row r="23" spans="1:36">
      <c r="I23" s="8"/>
      <c r="K23" s="8"/>
      <c r="L23" s="9"/>
      <c r="M23" s="8"/>
      <c r="N23" s="11"/>
      <c r="Q23" s="11"/>
      <c r="R23" s="10"/>
      <c r="S23" s="11"/>
      <c r="T23" s="10"/>
      <c r="U23" s="10"/>
      <c r="V23" s="11"/>
      <c r="W23" s="11"/>
      <c r="X23" s="11"/>
      <c r="AA23" s="11"/>
    </row>
    <row r="24" spans="1:36">
      <c r="A24" s="20" t="s">
        <v>70</v>
      </c>
      <c r="B24" s="20">
        <v>2000</v>
      </c>
      <c r="C24" s="21" t="s">
        <v>71</v>
      </c>
      <c r="I24" s="16" t="s">
        <v>65</v>
      </c>
      <c r="K24" s="8"/>
      <c r="L24" s="9"/>
      <c r="M24" s="8"/>
      <c r="N24" s="11"/>
      <c r="Q24" s="11"/>
      <c r="R24" s="10"/>
      <c r="S24" s="11"/>
      <c r="T24" s="10"/>
      <c r="U24" s="10"/>
      <c r="V24" s="11"/>
      <c r="W24" s="11"/>
      <c r="X24" s="11"/>
      <c r="AA24" s="11"/>
    </row>
    <row r="25" spans="1:36">
      <c r="A25" t="s">
        <v>72</v>
      </c>
      <c r="B25">
        <v>120</v>
      </c>
      <c r="C25">
        <v>120</v>
      </c>
      <c r="D25">
        <v>3.84</v>
      </c>
      <c r="E25">
        <v>330.1</v>
      </c>
      <c r="F25">
        <v>200</v>
      </c>
      <c r="G25">
        <v>18.93</v>
      </c>
      <c r="H25" s="11">
        <f t="shared" ref="H25:H45" si="21">0.8*G25</f>
        <v>15.144</v>
      </c>
      <c r="I25" s="8">
        <f t="shared" ref="I25:I45" si="22">22*((H25+8)/10)^0.3</f>
        <v>28.297899966421152</v>
      </c>
      <c r="J25">
        <v>2600</v>
      </c>
      <c r="K25" s="8">
        <f t="shared" ref="K25:K45" si="23">J25/B25</f>
        <v>21.666666666666668</v>
      </c>
      <c r="L25" s="9">
        <f t="shared" ref="L25:L45" si="24">SQRT(R25/AH25)</f>
        <v>0.72071364160606832</v>
      </c>
      <c r="M25" s="8">
        <f t="shared" si="17"/>
        <v>31.25</v>
      </c>
      <c r="N25" s="11">
        <f t="shared" si="18"/>
        <v>0.71225500397453734</v>
      </c>
      <c r="O25">
        <v>588</v>
      </c>
      <c r="Q25" s="11">
        <f t="shared" ref="Q25:Q45" si="25">Z25*O25/1000</f>
        <v>8.82</v>
      </c>
      <c r="R25" s="10">
        <f t="shared" ref="R25:R45" si="26">(E25*AF25+H25*AE25)/1000</f>
        <v>780.02363842560055</v>
      </c>
      <c r="S25" s="11">
        <f t="shared" ref="S25:S45" si="27">O25/R25</f>
        <v>0.75382330872282155</v>
      </c>
      <c r="T25" s="10">
        <f t="shared" ref="T25:T45" si="28">AJ25*R25</f>
        <v>653.5048214898452</v>
      </c>
      <c r="U25" s="10">
        <v>471</v>
      </c>
      <c r="V25" s="11">
        <f t="shared" ref="V25:V45" si="29">O25/U25</f>
        <v>1.2484076433121019</v>
      </c>
      <c r="W25">
        <v>477</v>
      </c>
      <c r="X25" s="11">
        <f t="shared" si="19"/>
        <v>1.2327044025157232</v>
      </c>
      <c r="Z25">
        <v>15</v>
      </c>
      <c r="AA25" s="11">
        <f t="shared" si="20"/>
        <v>0.75506715533490487</v>
      </c>
      <c r="AC25">
        <f t="shared" ref="AC25:AC45" si="30">B25-2*D25</f>
        <v>112.32</v>
      </c>
      <c r="AD25">
        <f t="shared" ref="AD25:AD45" si="31">C25-2*D25</f>
        <v>112.32</v>
      </c>
      <c r="AE25">
        <f t="shared" ref="AE25:AE45" si="32">AC25*AD25</f>
        <v>12615.782399999998</v>
      </c>
      <c r="AF25">
        <f t="shared" ref="AF25:AF45" si="33">B25*C25-AE25</f>
        <v>1784.2176000000018</v>
      </c>
      <c r="AG25">
        <f t="shared" ref="AG25:AG45" si="34">((C25*B25^3-AD25*AC25^3)*F25+(AD25*AC25^3)*I25*0.6)/12</f>
        <v>1028559050.0171756</v>
      </c>
      <c r="AH25">
        <f t="shared" ref="AH25:AH45" si="35">(PI()^2*AG25)/(J25*J25)</f>
        <v>1501.6968826671309</v>
      </c>
      <c r="AI25">
        <f t="shared" ref="AI25:AI45" si="36">0.5*(1+0.21*(L25-0.2)+L25*L25)</f>
        <v>0.81438900896717725</v>
      </c>
      <c r="AJ25">
        <f t="shared" ref="AJ25:AJ45" si="37">IF((1/(AI25+SQRT(AI25*AI25-L25*L25)))&gt;1,1,1/(AI25+SQRT(AI25*AI25-L25*L25)))</f>
        <v>0.83780130408468012</v>
      </c>
    </row>
    <row r="26" spans="1:36">
      <c r="A26" t="s">
        <v>73</v>
      </c>
      <c r="B26">
        <v>120</v>
      </c>
      <c r="C26">
        <v>120</v>
      </c>
      <c r="D26">
        <v>3.84</v>
      </c>
      <c r="E26">
        <v>330.1</v>
      </c>
      <c r="F26">
        <v>200</v>
      </c>
      <c r="G26">
        <v>18.93</v>
      </c>
      <c r="H26" s="11">
        <f t="shared" si="21"/>
        <v>15.144</v>
      </c>
      <c r="I26" s="8">
        <f t="shared" si="22"/>
        <v>28.297899966421152</v>
      </c>
      <c r="J26">
        <v>2600</v>
      </c>
      <c r="K26" s="8">
        <f t="shared" si="23"/>
        <v>21.666666666666668</v>
      </c>
      <c r="L26" s="9">
        <f t="shared" si="24"/>
        <v>0.72071364160606832</v>
      </c>
      <c r="M26" s="8">
        <f t="shared" si="17"/>
        <v>31.25</v>
      </c>
      <c r="N26" s="11">
        <f t="shared" si="18"/>
        <v>0.71225500397453734</v>
      </c>
      <c r="O26">
        <v>450.8</v>
      </c>
      <c r="Q26" s="11">
        <f t="shared" si="25"/>
        <v>13.523999999999999</v>
      </c>
      <c r="R26" s="10">
        <f t="shared" si="26"/>
        <v>780.02363842560055</v>
      </c>
      <c r="S26" s="11">
        <f t="shared" si="27"/>
        <v>0.57793120335416315</v>
      </c>
      <c r="T26" s="10">
        <f t="shared" si="28"/>
        <v>653.5048214898452</v>
      </c>
      <c r="U26" s="10">
        <v>375</v>
      </c>
      <c r="V26" s="11">
        <f t="shared" si="29"/>
        <v>1.2021333333333333</v>
      </c>
      <c r="W26">
        <v>381</v>
      </c>
      <c r="X26" s="11">
        <f t="shared" si="19"/>
        <v>1.1832020997375328</v>
      </c>
      <c r="Z26">
        <v>30</v>
      </c>
      <c r="AA26" s="11">
        <f t="shared" si="20"/>
        <v>0.75506715533490487</v>
      </c>
      <c r="AC26">
        <f t="shared" si="30"/>
        <v>112.32</v>
      </c>
      <c r="AD26">
        <f t="shared" si="31"/>
        <v>112.32</v>
      </c>
      <c r="AE26">
        <f t="shared" si="32"/>
        <v>12615.782399999998</v>
      </c>
      <c r="AF26">
        <f t="shared" si="33"/>
        <v>1784.2176000000018</v>
      </c>
      <c r="AG26">
        <f t="shared" si="34"/>
        <v>1028559050.0171756</v>
      </c>
      <c r="AH26">
        <f t="shared" si="35"/>
        <v>1501.6968826671309</v>
      </c>
      <c r="AI26">
        <f t="shared" si="36"/>
        <v>0.81438900896717725</v>
      </c>
      <c r="AJ26">
        <f t="shared" si="37"/>
        <v>0.83780130408468012</v>
      </c>
    </row>
    <row r="27" spans="1:36">
      <c r="A27" t="s">
        <v>74</v>
      </c>
      <c r="B27">
        <v>120</v>
      </c>
      <c r="C27">
        <v>120</v>
      </c>
      <c r="D27">
        <v>3.84</v>
      </c>
      <c r="E27">
        <v>330.1</v>
      </c>
      <c r="F27">
        <v>200</v>
      </c>
      <c r="G27">
        <v>25.46</v>
      </c>
      <c r="H27" s="11">
        <f t="shared" si="21"/>
        <v>20.368000000000002</v>
      </c>
      <c r="I27" s="8">
        <f t="shared" si="22"/>
        <v>30.079547334840854</v>
      </c>
      <c r="J27">
        <v>2600</v>
      </c>
      <c r="K27" s="8">
        <f t="shared" si="23"/>
        <v>21.666666666666668</v>
      </c>
      <c r="L27" s="9">
        <f t="shared" si="24"/>
        <v>0.74542312655146625</v>
      </c>
      <c r="M27" s="8">
        <f t="shared" si="17"/>
        <v>31.25</v>
      </c>
      <c r="N27" s="11">
        <f t="shared" si="18"/>
        <v>0.71225500397453734</v>
      </c>
      <c r="O27">
        <v>421.4</v>
      </c>
      <c r="Q27" s="11">
        <f t="shared" si="25"/>
        <v>16.856000000000002</v>
      </c>
      <c r="R27" s="10">
        <f t="shared" si="26"/>
        <v>845.92848568320062</v>
      </c>
      <c r="S27" s="11">
        <f t="shared" si="27"/>
        <v>0.49815085687729621</v>
      </c>
      <c r="T27" s="10">
        <f t="shared" si="28"/>
        <v>698.20847977560379</v>
      </c>
      <c r="U27" s="10">
        <v>344</v>
      </c>
      <c r="V27" s="11">
        <f t="shared" si="29"/>
        <v>1.2249999999999999</v>
      </c>
      <c r="W27">
        <v>351</v>
      </c>
      <c r="X27" s="11">
        <f t="shared" si="19"/>
        <v>1.2005698005698004</v>
      </c>
      <c r="Z27">
        <v>40</v>
      </c>
      <c r="AA27" s="11">
        <f t="shared" si="20"/>
        <v>0.69624115954001498</v>
      </c>
      <c r="AC27">
        <f t="shared" si="30"/>
        <v>112.32</v>
      </c>
      <c r="AD27">
        <f t="shared" si="31"/>
        <v>112.32</v>
      </c>
      <c r="AE27">
        <f t="shared" si="32"/>
        <v>12615.782399999998</v>
      </c>
      <c r="AF27">
        <f t="shared" si="33"/>
        <v>1784.2176000000018</v>
      </c>
      <c r="AG27">
        <f t="shared" si="34"/>
        <v>1042737218.5426955</v>
      </c>
      <c r="AH27">
        <f t="shared" si="35"/>
        <v>1522.3970179450687</v>
      </c>
      <c r="AI27">
        <f t="shared" si="36"/>
        <v>0.83509724708678557</v>
      </c>
      <c r="AJ27">
        <f t="shared" si="37"/>
        <v>0.82537530251355329</v>
      </c>
    </row>
    <row r="28" spans="1:36">
      <c r="A28" t="s">
        <v>75</v>
      </c>
      <c r="B28">
        <v>120</v>
      </c>
      <c r="C28">
        <v>120</v>
      </c>
      <c r="D28">
        <v>3.84</v>
      </c>
      <c r="E28">
        <v>330.1</v>
      </c>
      <c r="F28">
        <v>200</v>
      </c>
      <c r="G28">
        <v>18.93</v>
      </c>
      <c r="H28" s="11">
        <f t="shared" si="21"/>
        <v>15.144</v>
      </c>
      <c r="I28" s="8">
        <f t="shared" si="22"/>
        <v>28.297899966421152</v>
      </c>
      <c r="J28">
        <v>2600</v>
      </c>
      <c r="K28" s="8">
        <f t="shared" si="23"/>
        <v>21.666666666666668</v>
      </c>
      <c r="L28" s="9">
        <f t="shared" si="24"/>
        <v>0.72071364160606832</v>
      </c>
      <c r="M28" s="8">
        <f t="shared" si="17"/>
        <v>31.25</v>
      </c>
      <c r="N28" s="11">
        <f t="shared" si="18"/>
        <v>0.71225500397453734</v>
      </c>
      <c r="O28">
        <v>333.2</v>
      </c>
      <c r="Q28" s="11">
        <f t="shared" si="25"/>
        <v>16.66</v>
      </c>
      <c r="R28" s="10">
        <f t="shared" si="26"/>
        <v>780.02363842560055</v>
      </c>
      <c r="S28" s="11">
        <f t="shared" si="27"/>
        <v>0.42716654160959883</v>
      </c>
      <c r="T28" s="10">
        <f t="shared" si="28"/>
        <v>653.5048214898452</v>
      </c>
      <c r="U28" s="10">
        <v>302</v>
      </c>
      <c r="V28" s="11">
        <f t="shared" si="29"/>
        <v>1.1033112582781457</v>
      </c>
      <c r="W28">
        <v>300</v>
      </c>
      <c r="X28" s="11">
        <f t="shared" si="19"/>
        <v>1.1106666666666667</v>
      </c>
      <c r="Z28">
        <v>50</v>
      </c>
      <c r="AA28" s="11">
        <f t="shared" si="20"/>
        <v>0.75506715533490487</v>
      </c>
      <c r="AC28">
        <f t="shared" si="30"/>
        <v>112.32</v>
      </c>
      <c r="AD28">
        <f t="shared" si="31"/>
        <v>112.32</v>
      </c>
      <c r="AE28">
        <f t="shared" si="32"/>
        <v>12615.782399999998</v>
      </c>
      <c r="AF28">
        <f t="shared" si="33"/>
        <v>1784.2176000000018</v>
      </c>
      <c r="AG28">
        <f t="shared" si="34"/>
        <v>1028559050.0171756</v>
      </c>
      <c r="AH28">
        <f t="shared" si="35"/>
        <v>1501.6968826671309</v>
      </c>
      <c r="AI28">
        <f t="shared" si="36"/>
        <v>0.81438900896717725</v>
      </c>
      <c r="AJ28">
        <f t="shared" si="37"/>
        <v>0.83780130408468012</v>
      </c>
    </row>
    <row r="29" spans="1:36">
      <c r="A29" t="s">
        <v>76</v>
      </c>
      <c r="B29">
        <v>120</v>
      </c>
      <c r="C29">
        <v>120</v>
      </c>
      <c r="D29">
        <v>3.84</v>
      </c>
      <c r="E29">
        <v>330.1</v>
      </c>
      <c r="F29">
        <v>200</v>
      </c>
      <c r="G29">
        <v>25.46</v>
      </c>
      <c r="H29" s="11">
        <f t="shared" si="21"/>
        <v>20.368000000000002</v>
      </c>
      <c r="I29" s="8">
        <f t="shared" si="22"/>
        <v>30.079547334840854</v>
      </c>
      <c r="J29">
        <v>2600</v>
      </c>
      <c r="K29" s="8">
        <f t="shared" si="23"/>
        <v>21.666666666666668</v>
      </c>
      <c r="L29" s="9">
        <f t="shared" si="24"/>
        <v>0.74542312655146625</v>
      </c>
      <c r="M29" s="8">
        <f t="shared" si="17"/>
        <v>31.25</v>
      </c>
      <c r="N29" s="11">
        <f t="shared" si="18"/>
        <v>0.71225500397453734</v>
      </c>
      <c r="O29">
        <v>417.5</v>
      </c>
      <c r="Q29" s="11">
        <f t="shared" si="25"/>
        <v>16.7</v>
      </c>
      <c r="R29" s="10">
        <f t="shared" si="26"/>
        <v>845.92848568320062</v>
      </c>
      <c r="S29" s="11">
        <f t="shared" si="27"/>
        <v>0.49354053807847931</v>
      </c>
      <c r="T29" s="10">
        <f t="shared" si="28"/>
        <v>698.20847977560379</v>
      </c>
      <c r="U29" s="10">
        <v>345</v>
      </c>
      <c r="V29" s="11">
        <f t="shared" si="29"/>
        <v>1.2101449275362319</v>
      </c>
      <c r="W29">
        <v>351</v>
      </c>
      <c r="X29" s="11">
        <f t="shared" si="19"/>
        <v>1.1894586894586894</v>
      </c>
      <c r="Z29">
        <v>40</v>
      </c>
      <c r="AA29" s="11">
        <f t="shared" si="20"/>
        <v>0.69624115954001498</v>
      </c>
      <c r="AC29">
        <f t="shared" si="30"/>
        <v>112.32</v>
      </c>
      <c r="AD29">
        <f t="shared" si="31"/>
        <v>112.32</v>
      </c>
      <c r="AE29">
        <f t="shared" si="32"/>
        <v>12615.782399999998</v>
      </c>
      <c r="AF29">
        <f t="shared" si="33"/>
        <v>1784.2176000000018</v>
      </c>
      <c r="AG29">
        <f t="shared" si="34"/>
        <v>1042737218.5426955</v>
      </c>
      <c r="AH29">
        <f t="shared" si="35"/>
        <v>1522.3970179450687</v>
      </c>
      <c r="AI29">
        <f t="shared" si="36"/>
        <v>0.83509724708678557</v>
      </c>
      <c r="AJ29">
        <f t="shared" si="37"/>
        <v>0.82537530251355329</v>
      </c>
    </row>
    <row r="30" spans="1:36">
      <c r="A30" t="s">
        <v>77</v>
      </c>
      <c r="B30">
        <v>120</v>
      </c>
      <c r="C30">
        <v>120</v>
      </c>
      <c r="D30">
        <v>3.84</v>
      </c>
      <c r="E30">
        <v>330.1</v>
      </c>
      <c r="F30">
        <v>200</v>
      </c>
      <c r="G30">
        <v>36.6</v>
      </c>
      <c r="H30" s="11">
        <f t="shared" si="21"/>
        <v>29.28</v>
      </c>
      <c r="I30" s="8">
        <f t="shared" si="22"/>
        <v>32.648666819415283</v>
      </c>
      <c r="J30">
        <v>2600</v>
      </c>
      <c r="K30" s="8">
        <f t="shared" si="23"/>
        <v>21.666666666666668</v>
      </c>
      <c r="L30" s="9">
        <f t="shared" si="24"/>
        <v>0.78574944277152647</v>
      </c>
      <c r="M30" s="8">
        <f t="shared" si="17"/>
        <v>31.25</v>
      </c>
      <c r="N30" s="11">
        <f t="shared" si="18"/>
        <v>0.71225500397453734</v>
      </c>
      <c r="O30">
        <v>423.4</v>
      </c>
      <c r="Q30" s="11">
        <f t="shared" si="25"/>
        <v>21.17</v>
      </c>
      <c r="R30" s="10">
        <f t="shared" si="26"/>
        <v>958.3603384320005</v>
      </c>
      <c r="S30" s="11">
        <f t="shared" si="27"/>
        <v>0.44179624617264135</v>
      </c>
      <c r="T30" s="10">
        <f t="shared" si="28"/>
        <v>770.27738514298278</v>
      </c>
      <c r="U30" s="10">
        <v>324</v>
      </c>
      <c r="V30" s="11">
        <f t="shared" si="29"/>
        <v>1.30679012345679</v>
      </c>
      <c r="W30">
        <v>326</v>
      </c>
      <c r="X30" s="11">
        <f t="shared" si="19"/>
        <v>1.2987730061349692</v>
      </c>
      <c r="Z30">
        <v>50</v>
      </c>
      <c r="AA30" s="11">
        <f t="shared" si="20"/>
        <v>0.61456031321541427</v>
      </c>
      <c r="AC30">
        <f t="shared" si="30"/>
        <v>112.32</v>
      </c>
      <c r="AD30">
        <f t="shared" si="31"/>
        <v>112.32</v>
      </c>
      <c r="AE30">
        <f t="shared" si="32"/>
        <v>12615.782399999998</v>
      </c>
      <c r="AF30">
        <f t="shared" si="33"/>
        <v>1784.2176000000018</v>
      </c>
      <c r="AG30">
        <f t="shared" si="34"/>
        <v>1063182010.0654997</v>
      </c>
      <c r="AH30">
        <f t="shared" si="35"/>
        <v>1552.2464268789179</v>
      </c>
      <c r="AI30">
        <f t="shared" si="36"/>
        <v>0.87020478489889252</v>
      </c>
      <c r="AJ30">
        <f t="shared" si="37"/>
        <v>0.80374505731659829</v>
      </c>
    </row>
    <row r="31" spans="1:36">
      <c r="A31" t="s">
        <v>78</v>
      </c>
      <c r="B31">
        <v>140</v>
      </c>
      <c r="C31">
        <v>140</v>
      </c>
      <c r="D31">
        <v>3.84</v>
      </c>
      <c r="E31">
        <v>330.1</v>
      </c>
      <c r="F31">
        <v>200</v>
      </c>
      <c r="G31">
        <v>23.55</v>
      </c>
      <c r="H31" s="11">
        <f t="shared" si="21"/>
        <v>18.84</v>
      </c>
      <c r="I31" s="8">
        <f t="shared" si="22"/>
        <v>29.584036815724541</v>
      </c>
      <c r="J31">
        <v>2600</v>
      </c>
      <c r="K31" s="8">
        <f t="shared" si="23"/>
        <v>18.571428571428573</v>
      </c>
      <c r="L31" s="9">
        <f t="shared" si="24"/>
        <v>0.63246292180432362</v>
      </c>
      <c r="M31" s="8">
        <f t="shared" si="17"/>
        <v>36.458333333333336</v>
      </c>
      <c r="N31" s="11">
        <f t="shared" si="18"/>
        <v>0.83096417130362699</v>
      </c>
      <c r="O31">
        <v>833</v>
      </c>
      <c r="Q31" s="11">
        <f t="shared" si="25"/>
        <v>12.494999999999999</v>
      </c>
      <c r="R31" s="10">
        <f t="shared" si="26"/>
        <v>1020.2386421760002</v>
      </c>
      <c r="S31" s="11">
        <f t="shared" si="27"/>
        <v>0.81647564164335984</v>
      </c>
      <c r="T31" s="10">
        <f t="shared" si="28"/>
        <v>895.01290614749314</v>
      </c>
      <c r="U31" s="10">
        <v>664</v>
      </c>
      <c r="V31" s="11">
        <f t="shared" si="29"/>
        <v>1.2545180722891567</v>
      </c>
      <c r="W31">
        <v>682</v>
      </c>
      <c r="X31" s="11">
        <f t="shared" si="19"/>
        <v>1.2214076246334311</v>
      </c>
      <c r="Z31">
        <v>15</v>
      </c>
      <c r="AA31" s="11">
        <f t="shared" si="20"/>
        <v>0.67668182836864565</v>
      </c>
      <c r="AC31">
        <f t="shared" si="30"/>
        <v>132.32</v>
      </c>
      <c r="AD31">
        <f t="shared" si="31"/>
        <v>132.32</v>
      </c>
      <c r="AE31">
        <f t="shared" si="32"/>
        <v>17508.582399999999</v>
      </c>
      <c r="AF31">
        <f t="shared" si="33"/>
        <v>2091.4176000000007</v>
      </c>
      <c r="AG31">
        <f t="shared" si="34"/>
        <v>1746942373.6344717</v>
      </c>
      <c r="AH31">
        <f t="shared" si="35"/>
        <v>2550.5370028509274</v>
      </c>
      <c r="AI31">
        <f t="shared" si="36"/>
        <v>0.74541328051808498</v>
      </c>
      <c r="AJ31">
        <f t="shared" si="37"/>
        <v>0.87725838754605368</v>
      </c>
    </row>
    <row r="32" spans="1:36">
      <c r="A32" t="s">
        <v>79</v>
      </c>
      <c r="B32">
        <v>140</v>
      </c>
      <c r="C32">
        <v>140</v>
      </c>
      <c r="D32">
        <v>3.84</v>
      </c>
      <c r="E32">
        <v>330.1</v>
      </c>
      <c r="F32">
        <v>200</v>
      </c>
      <c r="G32">
        <v>23.55</v>
      </c>
      <c r="H32" s="11">
        <f t="shared" si="21"/>
        <v>18.84</v>
      </c>
      <c r="I32" s="8">
        <f t="shared" si="22"/>
        <v>29.584036815724541</v>
      </c>
      <c r="J32">
        <v>2600</v>
      </c>
      <c r="K32" s="8">
        <f t="shared" si="23"/>
        <v>18.571428571428573</v>
      </c>
      <c r="L32" s="9">
        <f t="shared" si="24"/>
        <v>0.63246292180432362</v>
      </c>
      <c r="M32" s="8">
        <f t="shared" si="17"/>
        <v>36.458333333333336</v>
      </c>
      <c r="N32" s="11">
        <f t="shared" si="18"/>
        <v>0.83096417130362699</v>
      </c>
      <c r="O32">
        <v>615.4</v>
      </c>
      <c r="Q32" s="11">
        <f t="shared" si="25"/>
        <v>24.616</v>
      </c>
      <c r="R32" s="10">
        <f t="shared" si="26"/>
        <v>1020.2386421760002</v>
      </c>
      <c r="S32" s="11">
        <f t="shared" si="27"/>
        <v>0.60319220872427803</v>
      </c>
      <c r="T32" s="10">
        <f t="shared" si="28"/>
        <v>895.01290614749314</v>
      </c>
      <c r="U32" s="10">
        <v>485</v>
      </c>
      <c r="V32" s="11">
        <f t="shared" si="29"/>
        <v>1.2688659793814432</v>
      </c>
      <c r="W32">
        <v>488</v>
      </c>
      <c r="X32" s="11">
        <f t="shared" si="19"/>
        <v>1.2610655737704917</v>
      </c>
      <c r="Z32">
        <v>40</v>
      </c>
      <c r="AA32" s="11">
        <f t="shared" si="20"/>
        <v>0.67668182836864565</v>
      </c>
      <c r="AC32">
        <f t="shared" si="30"/>
        <v>132.32</v>
      </c>
      <c r="AD32">
        <f t="shared" si="31"/>
        <v>132.32</v>
      </c>
      <c r="AE32">
        <f t="shared" si="32"/>
        <v>17508.582399999999</v>
      </c>
      <c r="AF32">
        <f t="shared" si="33"/>
        <v>2091.4176000000007</v>
      </c>
      <c r="AG32">
        <f t="shared" si="34"/>
        <v>1746942373.6344717</v>
      </c>
      <c r="AH32">
        <f t="shared" si="35"/>
        <v>2550.5370028509274</v>
      </c>
      <c r="AI32">
        <f t="shared" si="36"/>
        <v>0.74541328051808498</v>
      </c>
      <c r="AJ32">
        <f t="shared" si="37"/>
        <v>0.87725838754605368</v>
      </c>
    </row>
    <row r="33" spans="1:36">
      <c r="A33" t="s">
        <v>80</v>
      </c>
      <c r="B33">
        <v>140</v>
      </c>
      <c r="C33">
        <v>140</v>
      </c>
      <c r="D33">
        <v>3.84</v>
      </c>
      <c r="E33">
        <v>330.1</v>
      </c>
      <c r="F33">
        <v>200</v>
      </c>
      <c r="G33">
        <v>23.55</v>
      </c>
      <c r="H33" s="11">
        <f t="shared" si="21"/>
        <v>18.84</v>
      </c>
      <c r="I33" s="8">
        <f t="shared" si="22"/>
        <v>29.584036815724541</v>
      </c>
      <c r="J33">
        <v>2600</v>
      </c>
      <c r="K33" s="8">
        <f t="shared" si="23"/>
        <v>18.571428571428573</v>
      </c>
      <c r="L33" s="9">
        <f t="shared" si="24"/>
        <v>0.63246292180432362</v>
      </c>
      <c r="M33" s="8">
        <f t="shared" si="17"/>
        <v>36.458333333333336</v>
      </c>
      <c r="N33" s="11">
        <f t="shared" si="18"/>
        <v>0.83096417130362699</v>
      </c>
      <c r="O33">
        <v>509.6</v>
      </c>
      <c r="Q33" s="11">
        <f t="shared" si="25"/>
        <v>30.576000000000001</v>
      </c>
      <c r="R33" s="10">
        <f t="shared" si="26"/>
        <v>1020.2386421760002</v>
      </c>
      <c r="S33" s="11">
        <f t="shared" si="27"/>
        <v>0.49949098077005549</v>
      </c>
      <c r="T33" s="10">
        <f t="shared" si="28"/>
        <v>895.01290614749314</v>
      </c>
      <c r="U33" s="10">
        <v>388</v>
      </c>
      <c r="V33" s="11">
        <f t="shared" si="29"/>
        <v>1.3134020618556701</v>
      </c>
      <c r="W33">
        <v>392</v>
      </c>
      <c r="X33" s="11">
        <f t="shared" si="19"/>
        <v>1.3</v>
      </c>
      <c r="Z33">
        <v>60</v>
      </c>
      <c r="AA33" s="11">
        <f t="shared" si="20"/>
        <v>0.67668182836864565</v>
      </c>
      <c r="AC33">
        <f t="shared" si="30"/>
        <v>132.32</v>
      </c>
      <c r="AD33">
        <f t="shared" si="31"/>
        <v>132.32</v>
      </c>
      <c r="AE33">
        <f t="shared" si="32"/>
        <v>17508.582399999999</v>
      </c>
      <c r="AF33">
        <f t="shared" si="33"/>
        <v>2091.4176000000007</v>
      </c>
      <c r="AG33">
        <f t="shared" si="34"/>
        <v>1746942373.6344717</v>
      </c>
      <c r="AH33">
        <f t="shared" si="35"/>
        <v>2550.5370028509274</v>
      </c>
      <c r="AI33">
        <f t="shared" si="36"/>
        <v>0.74541328051808498</v>
      </c>
      <c r="AJ33">
        <f t="shared" si="37"/>
        <v>0.87725838754605368</v>
      </c>
    </row>
    <row r="34" spans="1:36">
      <c r="A34" t="s">
        <v>81</v>
      </c>
      <c r="B34">
        <v>140</v>
      </c>
      <c r="C34">
        <v>140</v>
      </c>
      <c r="D34">
        <v>3.84</v>
      </c>
      <c r="E34">
        <v>330.1</v>
      </c>
      <c r="F34">
        <v>200</v>
      </c>
      <c r="G34">
        <v>25.46</v>
      </c>
      <c r="H34" s="11">
        <f t="shared" si="21"/>
        <v>20.368000000000002</v>
      </c>
      <c r="I34" s="8">
        <f t="shared" si="22"/>
        <v>30.079547334840854</v>
      </c>
      <c r="J34">
        <v>2600</v>
      </c>
      <c r="K34" s="8">
        <f t="shared" si="23"/>
        <v>18.571428571428573</v>
      </c>
      <c r="L34" s="9">
        <f t="shared" si="24"/>
        <v>0.6393133904560957</v>
      </c>
      <c r="M34" s="8">
        <f t="shared" si="17"/>
        <v>36.458333333333336</v>
      </c>
      <c r="N34" s="11">
        <f t="shared" si="18"/>
        <v>0.83096417130362699</v>
      </c>
      <c r="O34">
        <v>558.6</v>
      </c>
      <c r="Q34" s="11">
        <f t="shared" si="25"/>
        <v>22.344000000000001</v>
      </c>
      <c r="R34" s="10">
        <f t="shared" si="26"/>
        <v>1046.9917560832002</v>
      </c>
      <c r="S34" s="11">
        <f t="shared" si="27"/>
        <v>0.53352855622256712</v>
      </c>
      <c r="T34" s="10">
        <f t="shared" si="28"/>
        <v>915.54794068896865</v>
      </c>
      <c r="U34" s="10">
        <v>494</v>
      </c>
      <c r="V34" s="11">
        <f t="shared" si="29"/>
        <v>1.1307692307692307</v>
      </c>
      <c r="W34">
        <v>505</v>
      </c>
      <c r="X34" s="11">
        <f t="shared" si="19"/>
        <v>1.1061386138613862</v>
      </c>
      <c r="Z34">
        <v>40</v>
      </c>
      <c r="AA34" s="11">
        <f t="shared" si="20"/>
        <v>0.65939100833296227</v>
      </c>
      <c r="AC34">
        <f t="shared" si="30"/>
        <v>132.32</v>
      </c>
      <c r="AD34">
        <f t="shared" si="31"/>
        <v>132.32</v>
      </c>
      <c r="AE34">
        <f t="shared" si="32"/>
        <v>17508.582399999999</v>
      </c>
      <c r="AF34">
        <f t="shared" si="33"/>
        <v>2091.4176000000007</v>
      </c>
      <c r="AG34">
        <f t="shared" si="34"/>
        <v>1754537322.4549344</v>
      </c>
      <c r="AH34">
        <f t="shared" si="35"/>
        <v>2561.625633073485</v>
      </c>
      <c r="AI34">
        <f t="shared" si="36"/>
        <v>0.75048871160612418</v>
      </c>
      <c r="AJ34">
        <f t="shared" si="37"/>
        <v>0.87445573030492296</v>
      </c>
    </row>
    <row r="35" spans="1:36">
      <c r="A35" t="s">
        <v>82</v>
      </c>
      <c r="B35">
        <v>140</v>
      </c>
      <c r="C35">
        <v>140</v>
      </c>
      <c r="D35">
        <v>3.84</v>
      </c>
      <c r="E35">
        <v>330.1</v>
      </c>
      <c r="F35">
        <v>200</v>
      </c>
      <c r="G35">
        <v>36.6</v>
      </c>
      <c r="H35" s="11">
        <f t="shared" si="21"/>
        <v>29.28</v>
      </c>
      <c r="I35" s="8">
        <f t="shared" si="22"/>
        <v>32.648666819415283</v>
      </c>
      <c r="J35">
        <v>2600</v>
      </c>
      <c r="K35" s="8">
        <f t="shared" si="23"/>
        <v>18.571428571428573</v>
      </c>
      <c r="L35" s="9">
        <f t="shared" si="24"/>
        <v>0.67773573972872381</v>
      </c>
      <c r="M35" s="8">
        <f t="shared" si="17"/>
        <v>36.458333333333336</v>
      </c>
      <c r="N35" s="11">
        <f t="shared" si="18"/>
        <v>0.83096417130362699</v>
      </c>
      <c r="O35">
        <v>539</v>
      </c>
      <c r="Q35" s="11">
        <f t="shared" si="25"/>
        <v>32.340000000000003</v>
      </c>
      <c r="R35" s="10">
        <f t="shared" si="26"/>
        <v>1203.0282424320001</v>
      </c>
      <c r="S35" s="11">
        <f t="shared" si="27"/>
        <v>0.44803603189761892</v>
      </c>
      <c r="T35" s="10">
        <f t="shared" si="28"/>
        <v>1032.1345532467735</v>
      </c>
      <c r="U35" s="10">
        <v>426</v>
      </c>
      <c r="V35" s="11">
        <f t="shared" si="29"/>
        <v>1.2652582159624413</v>
      </c>
      <c r="W35">
        <v>432</v>
      </c>
      <c r="X35" s="11">
        <f t="shared" si="19"/>
        <v>1.2476851851851851</v>
      </c>
      <c r="Z35">
        <v>60</v>
      </c>
      <c r="AA35" s="11">
        <f t="shared" si="20"/>
        <v>0.57386595377375194</v>
      </c>
      <c r="AC35">
        <f t="shared" si="30"/>
        <v>132.32</v>
      </c>
      <c r="AD35">
        <f t="shared" si="31"/>
        <v>132.32</v>
      </c>
      <c r="AE35">
        <f t="shared" si="32"/>
        <v>17508.582399999999</v>
      </c>
      <c r="AF35">
        <f t="shared" si="33"/>
        <v>2091.4176000000007</v>
      </c>
      <c r="AG35">
        <f t="shared" si="34"/>
        <v>1793915560.1436005</v>
      </c>
      <c r="AH35">
        <f t="shared" si="35"/>
        <v>2619.1178857360883</v>
      </c>
      <c r="AI35">
        <f t="shared" si="36"/>
        <v>0.77982511912433616</v>
      </c>
      <c r="AJ35">
        <f t="shared" si="37"/>
        <v>0.85794706794268294</v>
      </c>
    </row>
    <row r="36" spans="1:36">
      <c r="A36" t="s">
        <v>83</v>
      </c>
      <c r="B36">
        <v>120</v>
      </c>
      <c r="C36">
        <v>120</v>
      </c>
      <c r="D36">
        <v>5.86</v>
      </c>
      <c r="E36">
        <v>321.10000000000002</v>
      </c>
      <c r="F36">
        <v>200</v>
      </c>
      <c r="G36">
        <v>23.55</v>
      </c>
      <c r="H36" s="11">
        <f t="shared" si="21"/>
        <v>18.84</v>
      </c>
      <c r="I36" s="8">
        <f t="shared" si="22"/>
        <v>29.584036815724541</v>
      </c>
      <c r="J36">
        <v>2600</v>
      </c>
      <c r="K36" s="8">
        <f t="shared" si="23"/>
        <v>21.666666666666668</v>
      </c>
      <c r="L36" s="9">
        <f t="shared" si="24"/>
        <v>0.73527098208703945</v>
      </c>
      <c r="M36" s="8">
        <f t="shared" si="17"/>
        <v>20.477815699658702</v>
      </c>
      <c r="N36" s="11">
        <f t="shared" si="18"/>
        <v>0.46032706286650438</v>
      </c>
      <c r="O36">
        <v>754.6</v>
      </c>
      <c r="Q36" s="11">
        <f t="shared" si="25"/>
        <v>11.319000000000001</v>
      </c>
      <c r="R36" s="10">
        <f t="shared" si="26"/>
        <v>1079.974978016</v>
      </c>
      <c r="S36" s="11">
        <f t="shared" si="27"/>
        <v>0.69871989199810935</v>
      </c>
      <c r="T36" s="10">
        <f t="shared" si="28"/>
        <v>896.98021240665935</v>
      </c>
      <c r="U36" s="10">
        <v>627</v>
      </c>
      <c r="V36" s="11">
        <f t="shared" si="29"/>
        <v>1.2035087719298245</v>
      </c>
      <c r="W36">
        <v>651</v>
      </c>
      <c r="X36" s="11">
        <f t="shared" si="19"/>
        <v>1.1591397849462366</v>
      </c>
      <c r="Z36">
        <v>15</v>
      </c>
      <c r="AA36" s="11">
        <f t="shared" si="20"/>
        <v>0.79546685362859637</v>
      </c>
      <c r="AC36">
        <f t="shared" si="30"/>
        <v>108.28</v>
      </c>
      <c r="AD36">
        <f t="shared" si="31"/>
        <v>108.28</v>
      </c>
      <c r="AE36">
        <f t="shared" si="32"/>
        <v>11724.5584</v>
      </c>
      <c r="AF36">
        <f t="shared" si="33"/>
        <v>2675.4416000000001</v>
      </c>
      <c r="AG36">
        <f t="shared" si="34"/>
        <v>1368251052.0306079</v>
      </c>
      <c r="AH36">
        <f t="shared" si="35"/>
        <v>1997.6474267627857</v>
      </c>
      <c r="AI36">
        <f t="shared" si="36"/>
        <v>0.82651516166875882</v>
      </c>
      <c r="AJ36">
        <f t="shared" si="37"/>
        <v>0.83055647646067077</v>
      </c>
    </row>
    <row r="37" spans="1:36">
      <c r="A37" t="s">
        <v>84</v>
      </c>
      <c r="B37">
        <v>120</v>
      </c>
      <c r="C37">
        <v>120</v>
      </c>
      <c r="D37">
        <v>5.86</v>
      </c>
      <c r="E37">
        <v>321.10000000000002</v>
      </c>
      <c r="F37">
        <v>200</v>
      </c>
      <c r="G37">
        <v>23.55</v>
      </c>
      <c r="H37" s="11">
        <f t="shared" si="21"/>
        <v>18.84</v>
      </c>
      <c r="I37" s="8">
        <f t="shared" si="22"/>
        <v>29.584036815724541</v>
      </c>
      <c r="J37">
        <v>2600</v>
      </c>
      <c r="K37" s="8">
        <f t="shared" si="23"/>
        <v>21.666666666666668</v>
      </c>
      <c r="L37" s="9">
        <f t="shared" si="24"/>
        <v>0.73527098208703945</v>
      </c>
      <c r="M37" s="8">
        <f t="shared" si="17"/>
        <v>20.477815699658702</v>
      </c>
      <c r="N37" s="11">
        <f t="shared" si="18"/>
        <v>0.46032706286650438</v>
      </c>
      <c r="O37">
        <v>548.79999999999995</v>
      </c>
      <c r="Q37" s="11">
        <f t="shared" si="25"/>
        <v>16.463999999999999</v>
      </c>
      <c r="R37" s="10">
        <f t="shared" si="26"/>
        <v>1079.974978016</v>
      </c>
      <c r="S37" s="11">
        <f t="shared" si="27"/>
        <v>0.50815992145317035</v>
      </c>
      <c r="T37" s="10">
        <f t="shared" si="28"/>
        <v>896.98021240665935</v>
      </c>
      <c r="U37" s="10">
        <v>513</v>
      </c>
      <c r="V37" s="11">
        <f t="shared" si="29"/>
        <v>1.0697855750487328</v>
      </c>
      <c r="W37">
        <v>530</v>
      </c>
      <c r="X37" s="11">
        <f t="shared" si="19"/>
        <v>1.0354716981132075</v>
      </c>
      <c r="Z37">
        <v>30</v>
      </c>
      <c r="AA37" s="11">
        <f t="shared" si="20"/>
        <v>0.79546685362859637</v>
      </c>
      <c r="AC37">
        <f t="shared" si="30"/>
        <v>108.28</v>
      </c>
      <c r="AD37">
        <f t="shared" si="31"/>
        <v>108.28</v>
      </c>
      <c r="AE37">
        <f t="shared" si="32"/>
        <v>11724.5584</v>
      </c>
      <c r="AF37">
        <f t="shared" si="33"/>
        <v>2675.4416000000001</v>
      </c>
      <c r="AG37">
        <f t="shared" si="34"/>
        <v>1368251052.0306079</v>
      </c>
      <c r="AH37">
        <f t="shared" si="35"/>
        <v>1997.6474267627857</v>
      </c>
      <c r="AI37">
        <f t="shared" si="36"/>
        <v>0.82651516166875882</v>
      </c>
      <c r="AJ37">
        <f t="shared" si="37"/>
        <v>0.83055647646067077</v>
      </c>
    </row>
    <row r="38" spans="1:36">
      <c r="A38" t="s">
        <v>85</v>
      </c>
      <c r="B38">
        <v>120</v>
      </c>
      <c r="C38">
        <v>120</v>
      </c>
      <c r="D38">
        <v>5.86</v>
      </c>
      <c r="E38">
        <v>321.10000000000002</v>
      </c>
      <c r="F38">
        <v>200</v>
      </c>
      <c r="G38">
        <v>23.55</v>
      </c>
      <c r="H38" s="11">
        <f t="shared" si="21"/>
        <v>18.84</v>
      </c>
      <c r="I38" s="8">
        <f t="shared" si="22"/>
        <v>29.584036815724541</v>
      </c>
      <c r="J38">
        <v>2600</v>
      </c>
      <c r="K38" s="8">
        <f t="shared" si="23"/>
        <v>21.666666666666668</v>
      </c>
      <c r="L38" s="9">
        <f t="shared" si="24"/>
        <v>0.73527098208703945</v>
      </c>
      <c r="M38" s="8">
        <f t="shared" si="17"/>
        <v>20.477815699658702</v>
      </c>
      <c r="N38" s="11">
        <f t="shared" si="18"/>
        <v>0.46032706286650438</v>
      </c>
      <c r="O38">
        <v>510.6</v>
      </c>
      <c r="Q38" s="11">
        <f t="shared" si="25"/>
        <v>25.53</v>
      </c>
      <c r="R38" s="10">
        <f t="shared" si="26"/>
        <v>1079.974978016</v>
      </c>
      <c r="S38" s="11">
        <f t="shared" si="27"/>
        <v>0.47278873158525658</v>
      </c>
      <c r="T38" s="10">
        <f t="shared" si="28"/>
        <v>896.98021240665935</v>
      </c>
      <c r="U38" s="10">
        <v>401</v>
      </c>
      <c r="V38" s="11">
        <f t="shared" si="29"/>
        <v>1.2733167082294266</v>
      </c>
      <c r="W38">
        <v>405</v>
      </c>
      <c r="X38" s="11">
        <f t="shared" si="19"/>
        <v>1.2607407407407407</v>
      </c>
      <c r="Z38">
        <v>50</v>
      </c>
      <c r="AA38" s="11">
        <f t="shared" si="20"/>
        <v>0.79546685362859637</v>
      </c>
      <c r="AC38">
        <f t="shared" si="30"/>
        <v>108.28</v>
      </c>
      <c r="AD38">
        <f t="shared" si="31"/>
        <v>108.28</v>
      </c>
      <c r="AE38">
        <f t="shared" si="32"/>
        <v>11724.5584</v>
      </c>
      <c r="AF38">
        <f t="shared" si="33"/>
        <v>2675.4416000000001</v>
      </c>
      <c r="AG38">
        <f t="shared" si="34"/>
        <v>1368251052.0306079</v>
      </c>
      <c r="AH38">
        <f t="shared" si="35"/>
        <v>1997.6474267627857</v>
      </c>
      <c r="AI38">
        <f t="shared" si="36"/>
        <v>0.82651516166875882</v>
      </c>
      <c r="AJ38">
        <f t="shared" si="37"/>
        <v>0.83055647646067077</v>
      </c>
    </row>
    <row r="39" spans="1:36">
      <c r="A39" t="s">
        <v>86</v>
      </c>
      <c r="B39">
        <v>140</v>
      </c>
      <c r="C39">
        <v>140</v>
      </c>
      <c r="D39">
        <v>5.86</v>
      </c>
      <c r="E39">
        <v>321.10000000000002</v>
      </c>
      <c r="F39">
        <v>200</v>
      </c>
      <c r="G39">
        <v>19.22</v>
      </c>
      <c r="H39" s="11">
        <f t="shared" si="21"/>
        <v>15.375999999999999</v>
      </c>
      <c r="I39" s="8">
        <f t="shared" si="22"/>
        <v>28.382702194983771</v>
      </c>
      <c r="J39">
        <v>2600</v>
      </c>
      <c r="K39" s="8">
        <f t="shared" si="23"/>
        <v>18.571428571428573</v>
      </c>
      <c r="L39" s="9">
        <f t="shared" si="24"/>
        <v>0.61672441532571176</v>
      </c>
      <c r="M39" s="8">
        <f t="shared" si="17"/>
        <v>23.890784982935152</v>
      </c>
      <c r="N39" s="11">
        <f t="shared" si="18"/>
        <v>0.53704824001092177</v>
      </c>
      <c r="O39">
        <v>1014.3</v>
      </c>
      <c r="Q39" s="11">
        <f t="shared" si="25"/>
        <v>15.214499999999999</v>
      </c>
      <c r="R39" s="10">
        <f t="shared" si="26"/>
        <v>1262.6397189184004</v>
      </c>
      <c r="S39" s="11">
        <f t="shared" si="27"/>
        <v>0.80331703874234794</v>
      </c>
      <c r="T39" s="10">
        <f t="shared" si="28"/>
        <v>1115.5970410519017</v>
      </c>
      <c r="U39" s="10">
        <v>845</v>
      </c>
      <c r="V39" s="11">
        <f t="shared" si="29"/>
        <v>1.2003550295857988</v>
      </c>
      <c r="W39">
        <v>845</v>
      </c>
      <c r="X39" s="11">
        <f t="shared" si="19"/>
        <v>1.2003550295857988</v>
      </c>
      <c r="Z39">
        <v>15</v>
      </c>
      <c r="AA39" s="11">
        <f t="shared" si="20"/>
        <v>0.79960733266402828</v>
      </c>
      <c r="AC39">
        <f t="shared" si="30"/>
        <v>128.28</v>
      </c>
      <c r="AD39">
        <f t="shared" si="31"/>
        <v>128.28</v>
      </c>
      <c r="AE39">
        <f t="shared" si="32"/>
        <v>16455.758399999999</v>
      </c>
      <c r="AF39">
        <f t="shared" si="33"/>
        <v>3144.2416000000012</v>
      </c>
      <c r="AG39">
        <f t="shared" si="34"/>
        <v>2273757337.3503041</v>
      </c>
      <c r="AH39">
        <f t="shared" si="35"/>
        <v>3319.6871928582518</v>
      </c>
      <c r="AI39">
        <f t="shared" si="36"/>
        <v>0.73393056583862015</v>
      </c>
      <c r="AJ39">
        <f t="shared" si="37"/>
        <v>0.88354344025193654</v>
      </c>
    </row>
    <row r="40" spans="1:36">
      <c r="A40" t="s">
        <v>87</v>
      </c>
      <c r="B40">
        <v>140</v>
      </c>
      <c r="C40">
        <v>140</v>
      </c>
      <c r="D40">
        <v>5.86</v>
      </c>
      <c r="E40">
        <v>321.10000000000002</v>
      </c>
      <c r="F40">
        <v>200</v>
      </c>
      <c r="G40">
        <v>19.22</v>
      </c>
      <c r="H40" s="11">
        <f t="shared" si="21"/>
        <v>15.375999999999999</v>
      </c>
      <c r="I40" s="8">
        <f t="shared" si="22"/>
        <v>28.382702194983771</v>
      </c>
      <c r="J40">
        <v>2600</v>
      </c>
      <c r="K40" s="8">
        <f t="shared" si="23"/>
        <v>18.571428571428573</v>
      </c>
      <c r="L40" s="9">
        <f t="shared" si="24"/>
        <v>0.61672441532571176</v>
      </c>
      <c r="M40" s="8">
        <f t="shared" si="17"/>
        <v>23.890784982935152</v>
      </c>
      <c r="N40" s="11">
        <f t="shared" si="18"/>
        <v>0.53704824001092177</v>
      </c>
      <c r="O40">
        <v>803.6</v>
      </c>
      <c r="Q40" s="11">
        <f t="shared" si="25"/>
        <v>24.108000000000001</v>
      </c>
      <c r="R40" s="10">
        <f t="shared" si="26"/>
        <v>1262.6397189184004</v>
      </c>
      <c r="S40" s="11">
        <f t="shared" si="27"/>
        <v>0.63644441716785061</v>
      </c>
      <c r="T40" s="10">
        <f t="shared" si="28"/>
        <v>1115.5970410519017</v>
      </c>
      <c r="U40" s="10">
        <v>691</v>
      </c>
      <c r="V40" s="11">
        <f t="shared" si="29"/>
        <v>1.1629522431259045</v>
      </c>
      <c r="W40">
        <v>701</v>
      </c>
      <c r="X40" s="11">
        <f t="shared" si="19"/>
        <v>1.1463623395149787</v>
      </c>
      <c r="Z40">
        <v>30</v>
      </c>
      <c r="AA40" s="11">
        <f t="shared" si="20"/>
        <v>0.79960733266402828</v>
      </c>
      <c r="AC40">
        <f t="shared" si="30"/>
        <v>128.28</v>
      </c>
      <c r="AD40">
        <f t="shared" si="31"/>
        <v>128.28</v>
      </c>
      <c r="AE40">
        <f t="shared" si="32"/>
        <v>16455.758399999999</v>
      </c>
      <c r="AF40">
        <f t="shared" si="33"/>
        <v>3144.2416000000012</v>
      </c>
      <c r="AG40">
        <f t="shared" si="34"/>
        <v>2273757337.3503041</v>
      </c>
      <c r="AH40">
        <f t="shared" si="35"/>
        <v>3319.6871928582518</v>
      </c>
      <c r="AI40">
        <f t="shared" si="36"/>
        <v>0.73393056583862015</v>
      </c>
      <c r="AJ40">
        <f t="shared" si="37"/>
        <v>0.88354344025193654</v>
      </c>
    </row>
    <row r="41" spans="1:36">
      <c r="A41" t="s">
        <v>88</v>
      </c>
      <c r="B41">
        <v>140</v>
      </c>
      <c r="C41">
        <v>140</v>
      </c>
      <c r="D41">
        <v>5.86</v>
      </c>
      <c r="E41">
        <v>321.10000000000002</v>
      </c>
      <c r="F41">
        <v>200</v>
      </c>
      <c r="G41">
        <v>18.760000000000002</v>
      </c>
      <c r="H41" s="11">
        <f t="shared" si="21"/>
        <v>15.008000000000003</v>
      </c>
      <c r="I41" s="8">
        <f t="shared" si="22"/>
        <v>28.247911338017467</v>
      </c>
      <c r="J41">
        <v>2600</v>
      </c>
      <c r="K41" s="8">
        <f t="shared" si="23"/>
        <v>18.571428571428573</v>
      </c>
      <c r="L41" s="9">
        <f t="shared" si="24"/>
        <v>0.61549076756660259</v>
      </c>
      <c r="M41" s="8">
        <f t="shared" si="17"/>
        <v>23.890784982935152</v>
      </c>
      <c r="N41" s="11">
        <f t="shared" si="18"/>
        <v>0.53704824001092177</v>
      </c>
      <c r="O41">
        <v>735</v>
      </c>
      <c r="Q41" s="11">
        <f t="shared" si="25"/>
        <v>29.4</v>
      </c>
      <c r="R41" s="10">
        <f t="shared" si="26"/>
        <v>1256.5839998272006</v>
      </c>
      <c r="S41" s="11">
        <f t="shared" si="27"/>
        <v>0.5849191141229505</v>
      </c>
      <c r="T41" s="10">
        <f t="shared" si="28"/>
        <v>1110.8544433122609</v>
      </c>
      <c r="U41" s="10">
        <v>612</v>
      </c>
      <c r="V41" s="11">
        <f t="shared" si="29"/>
        <v>1.2009803921568627</v>
      </c>
      <c r="W41">
        <v>621</v>
      </c>
      <c r="X41" s="11">
        <f t="shared" si="19"/>
        <v>1.1835748792270531</v>
      </c>
      <c r="Z41">
        <v>40</v>
      </c>
      <c r="AA41" s="11">
        <f t="shared" si="20"/>
        <v>0.80346079362687894</v>
      </c>
      <c r="AC41">
        <f t="shared" si="30"/>
        <v>128.28</v>
      </c>
      <c r="AD41">
        <f t="shared" si="31"/>
        <v>128.28</v>
      </c>
      <c r="AE41">
        <f t="shared" si="32"/>
        <v>16455.758399999999</v>
      </c>
      <c r="AF41">
        <f t="shared" si="33"/>
        <v>3144.2416000000012</v>
      </c>
      <c r="AG41">
        <f t="shared" si="34"/>
        <v>2271932323.1676564</v>
      </c>
      <c r="AH41">
        <f t="shared" si="35"/>
        <v>3317.022670963413</v>
      </c>
      <c r="AI41">
        <f t="shared" si="36"/>
        <v>0.73304097307435612</v>
      </c>
      <c r="AJ41">
        <f t="shared" si="37"/>
        <v>0.88402720666904899</v>
      </c>
    </row>
    <row r="42" spans="1:36">
      <c r="A42" t="s">
        <v>89</v>
      </c>
      <c r="B42">
        <v>140</v>
      </c>
      <c r="C42">
        <v>140</v>
      </c>
      <c r="D42">
        <v>5.86</v>
      </c>
      <c r="E42">
        <v>321.10000000000002</v>
      </c>
      <c r="F42">
        <v>200</v>
      </c>
      <c r="G42">
        <v>18.760000000000002</v>
      </c>
      <c r="H42" s="11">
        <f t="shared" si="21"/>
        <v>15.008000000000003</v>
      </c>
      <c r="I42" s="8">
        <f t="shared" si="22"/>
        <v>28.247911338017467</v>
      </c>
      <c r="J42">
        <v>2600</v>
      </c>
      <c r="K42" s="8">
        <f t="shared" si="23"/>
        <v>18.571428571428573</v>
      </c>
      <c r="L42" s="9">
        <f t="shared" si="24"/>
        <v>0.61549076756660259</v>
      </c>
      <c r="M42" s="8">
        <f t="shared" si="17"/>
        <v>23.890784982935152</v>
      </c>
      <c r="N42" s="11">
        <f t="shared" si="18"/>
        <v>0.53704824001092177</v>
      </c>
      <c r="O42">
        <v>555.70000000000005</v>
      </c>
      <c r="Q42" s="11">
        <f t="shared" si="25"/>
        <v>33.341999999999999</v>
      </c>
      <c r="R42" s="10">
        <f t="shared" si="26"/>
        <v>1256.5839998272006</v>
      </c>
      <c r="S42" s="11">
        <f t="shared" si="27"/>
        <v>0.44223068260969201</v>
      </c>
      <c r="T42" s="10">
        <f t="shared" si="28"/>
        <v>1110.8544433122609</v>
      </c>
      <c r="U42" s="10">
        <v>498</v>
      </c>
      <c r="V42" s="11">
        <f t="shared" si="29"/>
        <v>1.1158634538152612</v>
      </c>
      <c r="W42">
        <v>513</v>
      </c>
      <c r="X42" s="11">
        <f t="shared" si="19"/>
        <v>1.0832358674463938</v>
      </c>
      <c r="Z42">
        <v>60</v>
      </c>
      <c r="AA42" s="11">
        <f t="shared" si="20"/>
        <v>0.80346079362687894</v>
      </c>
      <c r="AC42">
        <f t="shared" si="30"/>
        <v>128.28</v>
      </c>
      <c r="AD42">
        <f t="shared" si="31"/>
        <v>128.28</v>
      </c>
      <c r="AE42">
        <f t="shared" si="32"/>
        <v>16455.758399999999</v>
      </c>
      <c r="AF42">
        <f t="shared" si="33"/>
        <v>3144.2416000000012</v>
      </c>
      <c r="AG42">
        <f t="shared" si="34"/>
        <v>2271932323.1676564</v>
      </c>
      <c r="AH42">
        <f t="shared" si="35"/>
        <v>3317.022670963413</v>
      </c>
      <c r="AI42">
        <f t="shared" si="36"/>
        <v>0.73304097307435612</v>
      </c>
      <c r="AJ42">
        <f t="shared" si="37"/>
        <v>0.88402720666904899</v>
      </c>
    </row>
    <row r="43" spans="1:36">
      <c r="A43" t="s">
        <v>90</v>
      </c>
      <c r="B43">
        <v>200</v>
      </c>
      <c r="C43">
        <v>200</v>
      </c>
      <c r="D43">
        <v>5.86</v>
      </c>
      <c r="E43">
        <v>321.10000000000002</v>
      </c>
      <c r="F43">
        <v>200</v>
      </c>
      <c r="G43">
        <v>26.77</v>
      </c>
      <c r="H43" s="11">
        <f t="shared" si="21"/>
        <v>21.416</v>
      </c>
      <c r="I43" s="8">
        <f t="shared" si="22"/>
        <v>30.408693826425775</v>
      </c>
      <c r="J43">
        <v>2600</v>
      </c>
      <c r="K43" s="8">
        <f t="shared" si="23"/>
        <v>13</v>
      </c>
      <c r="L43" s="9">
        <f t="shared" si="24"/>
        <v>0.44636439587282273</v>
      </c>
      <c r="M43" s="8">
        <f t="shared" si="17"/>
        <v>34.129692832764505</v>
      </c>
      <c r="N43" s="11">
        <f t="shared" si="18"/>
        <v>0.76721177144417396</v>
      </c>
      <c r="O43">
        <v>1793.4</v>
      </c>
      <c r="Q43" s="11">
        <f t="shared" si="25"/>
        <v>53.802</v>
      </c>
      <c r="R43" s="10">
        <f t="shared" si="26"/>
        <v>2220.394477254401</v>
      </c>
      <c r="S43" s="11">
        <f t="shared" si="27"/>
        <v>0.80769431665025793</v>
      </c>
      <c r="T43" s="10">
        <f t="shared" si="28"/>
        <v>2087.5013591390871</v>
      </c>
      <c r="U43" s="10">
        <v>1477</v>
      </c>
      <c r="V43" s="11">
        <f t="shared" si="29"/>
        <v>1.214218009478673</v>
      </c>
      <c r="W43">
        <v>1477</v>
      </c>
      <c r="X43" s="11">
        <f t="shared" si="19"/>
        <v>1.214218009478673</v>
      </c>
      <c r="Z43">
        <v>30</v>
      </c>
      <c r="AA43" s="11">
        <f t="shared" si="20"/>
        <v>0.65808622419509966</v>
      </c>
      <c r="AC43">
        <f t="shared" si="30"/>
        <v>188.28</v>
      </c>
      <c r="AD43">
        <f t="shared" si="31"/>
        <v>188.28</v>
      </c>
      <c r="AE43">
        <f t="shared" si="32"/>
        <v>35449.358399999997</v>
      </c>
      <c r="AF43">
        <f t="shared" si="33"/>
        <v>4550.6416000000027</v>
      </c>
      <c r="AG43">
        <f t="shared" si="34"/>
        <v>7633048065.0459051</v>
      </c>
      <c r="AH43">
        <f t="shared" si="35"/>
        <v>11144.255144453207</v>
      </c>
      <c r="AI43">
        <f t="shared" si="36"/>
        <v>0.62548884851810138</v>
      </c>
      <c r="AJ43">
        <f t="shared" si="37"/>
        <v>0.94014887017750048</v>
      </c>
    </row>
    <row r="44" spans="1:36">
      <c r="A44" t="s">
        <v>91</v>
      </c>
      <c r="B44">
        <v>200</v>
      </c>
      <c r="C44">
        <v>200</v>
      </c>
      <c r="D44">
        <v>5.86</v>
      </c>
      <c r="E44">
        <v>321.10000000000002</v>
      </c>
      <c r="F44">
        <v>200</v>
      </c>
      <c r="G44">
        <v>22.79</v>
      </c>
      <c r="H44" s="11">
        <f t="shared" si="21"/>
        <v>18.231999999999999</v>
      </c>
      <c r="I44" s="8">
        <f t="shared" si="22"/>
        <v>29.381374034163649</v>
      </c>
      <c r="J44">
        <v>2600</v>
      </c>
      <c r="K44" s="8">
        <f t="shared" si="23"/>
        <v>13</v>
      </c>
      <c r="L44" s="9">
        <f t="shared" si="24"/>
        <v>0.43672177102368237</v>
      </c>
      <c r="M44" s="8">
        <f t="shared" si="17"/>
        <v>34.129692832764505</v>
      </c>
      <c r="N44" s="11">
        <f t="shared" si="18"/>
        <v>0.76721177144417396</v>
      </c>
      <c r="O44">
        <v>1425.9</v>
      </c>
      <c r="Q44" s="11">
        <f t="shared" si="25"/>
        <v>71.295000000000002</v>
      </c>
      <c r="R44" s="10">
        <f t="shared" si="26"/>
        <v>2107.5237201088007</v>
      </c>
      <c r="S44" s="11">
        <f t="shared" si="27"/>
        <v>0.67657601496717112</v>
      </c>
      <c r="T44" s="10">
        <f t="shared" si="28"/>
        <v>1987.0844656711456</v>
      </c>
      <c r="U44" s="10">
        <v>1182</v>
      </c>
      <c r="V44" s="11">
        <f t="shared" si="29"/>
        <v>1.2063451776649747</v>
      </c>
      <c r="W44">
        <v>1204</v>
      </c>
      <c r="X44" s="11">
        <f t="shared" si="19"/>
        <v>1.1843023255813954</v>
      </c>
      <c r="Z44">
        <v>50</v>
      </c>
      <c r="AA44" s="11">
        <f t="shared" si="20"/>
        <v>0.69333075771245223</v>
      </c>
      <c r="AC44">
        <f t="shared" si="30"/>
        <v>188.28</v>
      </c>
      <c r="AD44">
        <f t="shared" si="31"/>
        <v>188.28</v>
      </c>
      <c r="AE44">
        <f t="shared" si="32"/>
        <v>35449.358399999997</v>
      </c>
      <c r="AF44">
        <f t="shared" si="33"/>
        <v>4550.6416000000027</v>
      </c>
      <c r="AG44">
        <f t="shared" si="34"/>
        <v>7568498634.0730972</v>
      </c>
      <c r="AH44">
        <f t="shared" si="35"/>
        <v>11050.012933208081</v>
      </c>
      <c r="AI44">
        <f t="shared" si="36"/>
        <v>0.62021873860051746</v>
      </c>
      <c r="AJ44">
        <f t="shared" si="37"/>
        <v>0.94285271701167972</v>
      </c>
    </row>
    <row r="45" spans="1:36">
      <c r="A45" t="s">
        <v>92</v>
      </c>
      <c r="B45">
        <v>200</v>
      </c>
      <c r="C45">
        <v>200</v>
      </c>
      <c r="D45">
        <v>5.86</v>
      </c>
      <c r="E45">
        <v>321.10000000000002</v>
      </c>
      <c r="F45">
        <v>200</v>
      </c>
      <c r="G45">
        <v>26.77</v>
      </c>
      <c r="H45" s="11">
        <f t="shared" si="21"/>
        <v>21.416</v>
      </c>
      <c r="I45" s="8">
        <f t="shared" si="22"/>
        <v>30.408693826425775</v>
      </c>
      <c r="J45">
        <v>2600</v>
      </c>
      <c r="K45" s="8">
        <f t="shared" si="23"/>
        <v>13</v>
      </c>
      <c r="L45" s="9">
        <f t="shared" si="24"/>
        <v>0.44636439587282273</v>
      </c>
      <c r="M45" s="8">
        <f t="shared" si="17"/>
        <v>34.129692832764505</v>
      </c>
      <c r="N45" s="11">
        <f t="shared" si="18"/>
        <v>0.76721177144417396</v>
      </c>
      <c r="O45">
        <v>1200.5</v>
      </c>
      <c r="Q45" s="11">
        <f t="shared" si="25"/>
        <v>96.04</v>
      </c>
      <c r="R45" s="10">
        <f t="shared" si="26"/>
        <v>2220.394477254401</v>
      </c>
      <c r="S45" s="11">
        <f t="shared" si="27"/>
        <v>0.54066969283965349</v>
      </c>
      <c r="T45" s="10">
        <f t="shared" si="28"/>
        <v>2087.5013591390871</v>
      </c>
      <c r="U45" s="10">
        <v>1082</v>
      </c>
      <c r="V45" s="11">
        <f t="shared" si="29"/>
        <v>1.1095194085027726</v>
      </c>
      <c r="W45">
        <v>994</v>
      </c>
      <c r="X45" s="11">
        <f t="shared" si="19"/>
        <v>1.2077464788732395</v>
      </c>
      <c r="Z45">
        <v>80</v>
      </c>
      <c r="AA45" s="11">
        <f t="shared" si="20"/>
        <v>0.65808622419509966</v>
      </c>
      <c r="AC45">
        <f t="shared" si="30"/>
        <v>188.28</v>
      </c>
      <c r="AD45">
        <f t="shared" si="31"/>
        <v>188.28</v>
      </c>
      <c r="AE45">
        <f t="shared" si="32"/>
        <v>35449.358399999997</v>
      </c>
      <c r="AF45">
        <f t="shared" si="33"/>
        <v>4550.6416000000027</v>
      </c>
      <c r="AG45">
        <f t="shared" si="34"/>
        <v>7633048065.0459051</v>
      </c>
      <c r="AH45">
        <f t="shared" si="35"/>
        <v>11144.255144453207</v>
      </c>
      <c r="AI45">
        <f t="shared" si="36"/>
        <v>0.62548884851810138</v>
      </c>
      <c r="AJ45">
        <f t="shared" si="37"/>
        <v>0.94014887017750048</v>
      </c>
    </row>
    <row r="46" spans="1:36">
      <c r="I46" s="8"/>
      <c r="K46" s="8"/>
      <c r="L46" s="9"/>
      <c r="M46" s="8"/>
      <c r="N46" s="11"/>
      <c r="Q46" s="11"/>
      <c r="R46" s="10"/>
      <c r="S46" s="11"/>
      <c r="T46" s="10"/>
      <c r="V46" s="11"/>
      <c r="W46" s="11"/>
      <c r="X46" s="11"/>
      <c r="AA46" s="11"/>
    </row>
    <row r="47" spans="1:36">
      <c r="A47" s="20" t="s">
        <v>93</v>
      </c>
      <c r="B47" s="20">
        <v>2003</v>
      </c>
      <c r="C47" s="21" t="s">
        <v>94</v>
      </c>
      <c r="F47" s="20" t="s">
        <v>65</v>
      </c>
      <c r="I47" s="16" t="s">
        <v>65</v>
      </c>
      <c r="K47" s="8"/>
      <c r="L47" s="9"/>
      <c r="M47" s="8"/>
      <c r="N47" s="11"/>
      <c r="P47" t="s">
        <v>95</v>
      </c>
      <c r="Q47" s="11"/>
      <c r="R47" s="10"/>
      <c r="S47" s="11"/>
      <c r="T47" s="10"/>
      <c r="V47" s="11"/>
      <c r="W47" s="11"/>
      <c r="X47" s="11"/>
      <c r="AA47" s="11"/>
    </row>
    <row r="48" spans="1:36">
      <c r="A48" t="s">
        <v>96</v>
      </c>
      <c r="B48">
        <v>120</v>
      </c>
      <c r="C48">
        <v>120</v>
      </c>
      <c r="D48">
        <v>5</v>
      </c>
      <c r="E48">
        <v>761</v>
      </c>
      <c r="F48">
        <v>200</v>
      </c>
      <c r="H48">
        <v>20.34</v>
      </c>
      <c r="I48" s="8">
        <f>22*((H48+8)/10)^0.3</f>
        <v>30.070637452821007</v>
      </c>
      <c r="J48">
        <v>3020</v>
      </c>
      <c r="K48" s="8">
        <f>J48/B48</f>
        <v>25.166666666666668</v>
      </c>
      <c r="L48" s="9">
        <f>SQRT(R48/AH48)</f>
        <v>1.2217411757422663</v>
      </c>
      <c r="M48" s="8">
        <f t="shared" si="17"/>
        <v>24</v>
      </c>
      <c r="N48" s="11">
        <f t="shared" si="18"/>
        <v>0.83055098060632382</v>
      </c>
      <c r="O48">
        <v>1481</v>
      </c>
      <c r="P48">
        <v>10</v>
      </c>
      <c r="Q48" s="11">
        <f>Z48*O48/1000</f>
        <v>11.848000000000001</v>
      </c>
      <c r="R48" s="10">
        <f>(E48*AF48+H48*AE48)/1000</f>
        <v>1996.414</v>
      </c>
      <c r="S48" s="11">
        <f>O48/R48</f>
        <v>0.74183010137175953</v>
      </c>
      <c r="T48" s="10">
        <f>AJ48*R48</f>
        <v>1031.0113733679834</v>
      </c>
      <c r="U48" s="10">
        <v>811</v>
      </c>
      <c r="V48" s="11">
        <f>O48/U48</f>
        <v>1.8261405672009865</v>
      </c>
      <c r="W48">
        <v>827</v>
      </c>
      <c r="X48" s="11">
        <f t="shared" si="19"/>
        <v>1.7908101571946795</v>
      </c>
      <c r="Z48">
        <v>8</v>
      </c>
      <c r="AA48" s="11">
        <f t="shared" si="20"/>
        <v>0.87672196247872436</v>
      </c>
      <c r="AC48">
        <f>B48-2*D48</f>
        <v>110</v>
      </c>
      <c r="AD48">
        <f>C48-2*D48</f>
        <v>110</v>
      </c>
      <c r="AE48">
        <f>AC48*AD48</f>
        <v>12100</v>
      </c>
      <c r="AF48">
        <f>B48*C48-AE48</f>
        <v>2300</v>
      </c>
      <c r="AG48">
        <f>((C48*B48^3-AD48*AC48^3)*F48+(AD48*AC48^3)*I48*0.6)/12</f>
        <v>1235965434.8067095</v>
      </c>
      <c r="AH48">
        <f>(PI()^2*AG48)/(J48*J48)</f>
        <v>1337.4950544891256</v>
      </c>
      <c r="AI48">
        <f>0.5*(1+0.21*(L48-0.2)+L48*L48)</f>
        <v>1.3536085737049857</v>
      </c>
      <c r="AJ48">
        <f>IF((1/(AI48+SQRT(AI48*AI48-L48*L48)))&gt;1,1,1/(AI48+SQRT(AI48*AI48-L48*L48)))</f>
        <v>0.51643164862998525</v>
      </c>
    </row>
    <row r="49" spans="1:36">
      <c r="A49" t="s">
        <v>97</v>
      </c>
      <c r="B49">
        <v>170</v>
      </c>
      <c r="C49">
        <v>170</v>
      </c>
      <c r="D49">
        <v>5</v>
      </c>
      <c r="E49">
        <v>761</v>
      </c>
      <c r="F49">
        <v>200</v>
      </c>
      <c r="H49">
        <v>20.34</v>
      </c>
      <c r="I49" s="8">
        <f>22*((H49+8)/10)^0.3</f>
        <v>30.070637452821007</v>
      </c>
      <c r="J49">
        <v>3020</v>
      </c>
      <c r="K49" s="8">
        <f>J49/B49</f>
        <v>17.764705882352942</v>
      </c>
      <c r="L49" s="9">
        <f>SQRT(R49/AH49)</f>
        <v>0.83873492320844489</v>
      </c>
      <c r="M49" s="8">
        <f t="shared" si="17"/>
        <v>34</v>
      </c>
      <c r="N49" s="11">
        <f t="shared" si="18"/>
        <v>1.1766138891922919</v>
      </c>
      <c r="O49">
        <v>2126</v>
      </c>
      <c r="P49">
        <v>12</v>
      </c>
      <c r="Q49" s="11">
        <f>Z49*O49/1000</f>
        <v>31.89</v>
      </c>
      <c r="R49" s="10">
        <f>(E49*AF49+H49*AE49)/1000</f>
        <v>3032.0039999999999</v>
      </c>
      <c r="S49" s="11">
        <f>O49/R49</f>
        <v>0.70118641004431392</v>
      </c>
      <c r="T49" s="10">
        <f>AJ49*R49</f>
        <v>2343.2317401604655</v>
      </c>
      <c r="U49" s="10">
        <v>1763</v>
      </c>
      <c r="V49" s="11">
        <f>O49/U49</f>
        <v>1.2058990357345434</v>
      </c>
      <c r="W49">
        <v>1804</v>
      </c>
      <c r="X49" s="11">
        <f t="shared" si="19"/>
        <v>1.1784922394678492</v>
      </c>
      <c r="Z49">
        <v>15</v>
      </c>
      <c r="AA49" s="11">
        <f t="shared" si="20"/>
        <v>0.82826407880728392</v>
      </c>
      <c r="AC49">
        <f>B49-2*D49</f>
        <v>160</v>
      </c>
      <c r="AD49">
        <f>C49-2*D49</f>
        <v>160</v>
      </c>
      <c r="AE49">
        <f>AC49*AD49</f>
        <v>25600</v>
      </c>
      <c r="AF49">
        <f>B49*C49-AE49</f>
        <v>3300</v>
      </c>
      <c r="AG49">
        <f>((C49*B49^3-AD49*AC49^3)*F49+(AD49*AC49^3)*I49*0.6)/12</f>
        <v>3982854648.054039</v>
      </c>
      <c r="AH49">
        <f>(PI()^2*AG49)/(J49*J49)</f>
        <v>4310.0302358814688</v>
      </c>
      <c r="AI49">
        <f>0.5*(1+0.21*(L49-0.2)+L49*L49)</f>
        <v>0.91880530264162474</v>
      </c>
      <c r="AJ49">
        <f>IF((1/(AI49+SQRT(AI49*AI49-L49*L49)))&gt;1,1,1/(AI49+SQRT(AI49*AI49-L49*L49)))</f>
        <v>0.77283266781985294</v>
      </c>
    </row>
    <row r="50" spans="1:36">
      <c r="A50" t="s">
        <v>98</v>
      </c>
      <c r="B50">
        <v>220</v>
      </c>
      <c r="C50">
        <v>220</v>
      </c>
      <c r="D50">
        <v>5</v>
      </c>
      <c r="E50">
        <v>761</v>
      </c>
      <c r="F50">
        <v>200</v>
      </c>
      <c r="H50">
        <v>20.34</v>
      </c>
      <c r="I50" s="8">
        <f>22*((H50+8)/10)^0.3</f>
        <v>30.070637452821007</v>
      </c>
      <c r="J50">
        <v>3020</v>
      </c>
      <c r="K50" s="8">
        <f>J50/B50</f>
        <v>13.727272727272727</v>
      </c>
      <c r="L50" s="9">
        <f>SQRT(R50/AH50)</f>
        <v>0.63505705933526435</v>
      </c>
      <c r="M50" s="8">
        <f t="shared" si="17"/>
        <v>44</v>
      </c>
      <c r="N50" s="11">
        <f t="shared" si="18"/>
        <v>1.5226767977782603</v>
      </c>
      <c r="O50">
        <v>2939</v>
      </c>
      <c r="P50">
        <v>11</v>
      </c>
      <c r="Q50" s="11">
        <f>Z50*O50/1000</f>
        <v>52.902000000000001</v>
      </c>
      <c r="R50" s="10">
        <f>(E50*AF50+H50*AE50)/1000</f>
        <v>4169.2939999999999</v>
      </c>
      <c r="S50" s="11">
        <f>O50/R50</f>
        <v>0.70491550847697482</v>
      </c>
      <c r="T50" s="10">
        <f>AJ50*R50</f>
        <v>3653.1434396049403</v>
      </c>
      <c r="U50" s="10">
        <v>2812</v>
      </c>
      <c r="V50" s="11">
        <f>O50/U50</f>
        <v>1.0451635846372689</v>
      </c>
      <c r="W50">
        <v>2883</v>
      </c>
      <c r="X50" s="11">
        <f t="shared" si="19"/>
        <v>1.0194242108914324</v>
      </c>
      <c r="Z50">
        <v>18</v>
      </c>
      <c r="AA50" s="11">
        <f t="shared" si="20"/>
        <v>0.78485710050670454</v>
      </c>
      <c r="AC50">
        <f>B50-2*D50</f>
        <v>210</v>
      </c>
      <c r="AD50">
        <f>C50-2*D50</f>
        <v>210</v>
      </c>
      <c r="AE50">
        <f>AC50*AD50</f>
        <v>44100</v>
      </c>
      <c r="AF50">
        <f>B50*C50-AE50</f>
        <v>4300</v>
      </c>
      <c r="AG50">
        <f>((C50*B50^3-AD50*AC50^3)*F50+(AD50*AC50^3)*I50*0.6)/12</f>
        <v>9553250487.897707</v>
      </c>
      <c r="AH50">
        <f>(PI()^2*AG50)/(J50*J50)</f>
        <v>10338.011826242739</v>
      </c>
      <c r="AI50">
        <f>0.5*(1+0.21*(L50-0.2)+L50*L50)</f>
        <v>0.74732972553597943</v>
      </c>
      <c r="AJ50">
        <f>IF((1/(AI50+SQRT(AI50*AI50-L50*L50)))&gt;1,1,1/(AI50+SQRT(AI50*AI50-L50*L50)))</f>
        <v>0.8762019276177071</v>
      </c>
    </row>
    <row r="51" spans="1:36">
      <c r="A51" t="s">
        <v>99</v>
      </c>
      <c r="B51">
        <v>270</v>
      </c>
      <c r="C51">
        <v>270</v>
      </c>
      <c r="D51">
        <v>5</v>
      </c>
      <c r="E51">
        <v>761</v>
      </c>
      <c r="F51">
        <v>200</v>
      </c>
      <c r="H51">
        <v>20.34</v>
      </c>
      <c r="I51" s="8">
        <f>22*((H51+8)/10)^0.3</f>
        <v>30.070637452821007</v>
      </c>
      <c r="J51">
        <v>3020</v>
      </c>
      <c r="K51" s="8">
        <f>J51/B51</f>
        <v>11.185185185185185</v>
      </c>
      <c r="L51" s="9">
        <f>SQRT(R51/AH51)</f>
        <v>0.50911410848114147</v>
      </c>
      <c r="M51" s="8">
        <f t="shared" si="17"/>
        <v>54</v>
      </c>
      <c r="N51" s="11">
        <f t="shared" si="18"/>
        <v>1.8687397063642286</v>
      </c>
      <c r="O51">
        <v>3062</v>
      </c>
      <c r="P51">
        <v>5</v>
      </c>
      <c r="Q51" s="11">
        <f>Z51*O51/1000</f>
        <v>70.426000000000002</v>
      </c>
      <c r="R51" s="10">
        <f>(E51*AF51+H51*AE51)/1000</f>
        <v>5408.2839999999997</v>
      </c>
      <c r="S51" s="11">
        <f>O51/R51</f>
        <v>0.56616849263093438</v>
      </c>
      <c r="T51" s="10">
        <f>AJ51*R51</f>
        <v>4983.2994928193966</v>
      </c>
      <c r="U51" s="10">
        <v>3860</v>
      </c>
      <c r="V51" s="11">
        <f>O51/U51</f>
        <v>0.79326424870466317</v>
      </c>
      <c r="W51">
        <v>3967</v>
      </c>
      <c r="X51" s="11">
        <f t="shared" si="19"/>
        <v>0.77186791025964208</v>
      </c>
      <c r="Z51">
        <v>23</v>
      </c>
      <c r="AA51" s="11">
        <f t="shared" si="20"/>
        <v>0.74576335118495996</v>
      </c>
      <c r="AC51">
        <f>B51-2*D51</f>
        <v>260</v>
      </c>
      <c r="AD51">
        <f>C51-2*D51</f>
        <v>260</v>
      </c>
      <c r="AE51">
        <f>AC51*AD51</f>
        <v>67600</v>
      </c>
      <c r="AF51">
        <f>B51*C51-AE51</f>
        <v>5300</v>
      </c>
      <c r="AG51">
        <f>((C51*B51^3-AD51*AC51^3)*F51+(AD51*AC51^3)*I51*0.6)/12</f>
        <v>19281613143.6535</v>
      </c>
      <c r="AH51">
        <f>(PI()^2*AG51)/(J51*J51)</f>
        <v>20865.520584920068</v>
      </c>
      <c r="AI51">
        <f>0.5*(1+0.21*(L51-0.2)+L51*L51)</f>
        <v>0.66205556911779362</v>
      </c>
      <c r="AJ51">
        <f>IF((1/(AI51+SQRT(AI51*AI51-L51*L51)))&gt;1,1,1/(AI51+SQRT(AI51*AI51-L51*L51)))</f>
        <v>0.92141971331745842</v>
      </c>
    </row>
    <row r="52" spans="1:36">
      <c r="I52" s="8"/>
      <c r="K52" s="8"/>
      <c r="L52" s="9"/>
      <c r="M52" s="8"/>
      <c r="N52" s="11"/>
      <c r="Q52" s="11"/>
      <c r="R52" s="10"/>
      <c r="S52" s="11"/>
      <c r="T52" s="10"/>
      <c r="U52" s="10"/>
      <c r="V52" s="11"/>
      <c r="W52" s="11"/>
      <c r="X52" s="11"/>
      <c r="AA52" s="11"/>
    </row>
    <row r="53" spans="1:36">
      <c r="A53" s="20" t="s">
        <v>100</v>
      </c>
      <c r="B53" s="20">
        <v>2003</v>
      </c>
      <c r="C53" s="21" t="s">
        <v>101</v>
      </c>
      <c r="I53" s="16" t="s">
        <v>65</v>
      </c>
      <c r="K53" s="8"/>
      <c r="L53" s="9"/>
      <c r="M53" s="8"/>
      <c r="N53" s="11"/>
      <c r="Q53" s="11"/>
      <c r="R53" s="10"/>
      <c r="S53" s="11"/>
      <c r="T53" s="10"/>
      <c r="U53" s="10"/>
      <c r="V53" s="11"/>
      <c r="W53" s="11"/>
      <c r="X53" s="11"/>
      <c r="AA53" s="11"/>
    </row>
    <row r="54" spans="1:36">
      <c r="A54">
        <v>1</v>
      </c>
      <c r="B54">
        <v>130</v>
      </c>
      <c r="C54">
        <v>195</v>
      </c>
      <c r="D54">
        <v>2.65</v>
      </c>
      <c r="E54">
        <v>340</v>
      </c>
      <c r="F54">
        <v>200</v>
      </c>
      <c r="H54">
        <v>18.46</v>
      </c>
      <c r="I54" s="8">
        <f t="shared" ref="I54:I59" si="38">22*((H54+8)/10)^0.3</f>
        <v>29.45775411506467</v>
      </c>
      <c r="J54">
        <v>780</v>
      </c>
      <c r="K54" s="8">
        <f t="shared" ref="K54:K59" si="39">J54/B54</f>
        <v>6</v>
      </c>
      <c r="L54" s="9">
        <f t="shared" ref="L54:L59" si="40">SQRT(R54/AH54)</f>
        <v>0.20061288528597068</v>
      </c>
      <c r="M54" s="8">
        <f t="shared" si="17"/>
        <v>73.584905660377359</v>
      </c>
      <c r="N54" s="11">
        <f t="shared" si="18"/>
        <v>1.7021229255442678</v>
      </c>
      <c r="O54">
        <v>872</v>
      </c>
      <c r="Q54" s="11">
        <f t="shared" ref="Q54:Q59" si="41">Y54*O54/1000</f>
        <v>12.208</v>
      </c>
      <c r="R54" s="10">
        <f t="shared" ref="R54:R59" si="42">(E54*AF54+H54*AE54)/1000</f>
        <v>1012.7815913999999</v>
      </c>
      <c r="S54" s="11">
        <f t="shared" ref="S54:S59" si="43">O54/R54</f>
        <v>0.86099511227747227</v>
      </c>
      <c r="T54" s="10">
        <f t="shared" ref="T54:T59" si="44">AJ54*R54</f>
        <v>1012.6457933707837</v>
      </c>
      <c r="U54" s="10">
        <v>872</v>
      </c>
      <c r="V54" s="11">
        <f t="shared" ref="V54:V59" si="45">O54/U54</f>
        <v>1</v>
      </c>
      <c r="W54">
        <v>855</v>
      </c>
      <c r="X54" s="11">
        <f t="shared" si="19"/>
        <v>1.0198830409356725</v>
      </c>
      <c r="Y54">
        <v>14</v>
      </c>
      <c r="AA54" s="11">
        <f t="shared" si="20"/>
        <v>0.5688288619105325</v>
      </c>
      <c r="AC54">
        <f t="shared" ref="AC54:AC59" si="46">B54-2*D54</f>
        <v>124.7</v>
      </c>
      <c r="AD54">
        <f t="shared" ref="AD54:AD59" si="47">C54-2*D54</f>
        <v>189.7</v>
      </c>
      <c r="AE54">
        <f t="shared" ref="AE54:AE59" si="48">AC54*AD54</f>
        <v>23655.59</v>
      </c>
      <c r="AF54">
        <f t="shared" ref="AF54:AF59" si="49">B54*C54-AE54</f>
        <v>1694.4099999999999</v>
      </c>
      <c r="AG54">
        <f t="shared" ref="AG54:AG59" si="50">((C54*B54^3-AD54*AC54^3)*F54+(AD54*AC54^3)*I54*0.6)/12</f>
        <v>1551270774.540082</v>
      </c>
      <c r="AH54">
        <f t="shared" ref="AH54:AH59" si="51">(PI()^2*AG54)/(J54*J54)</f>
        <v>25165.070453126384</v>
      </c>
      <c r="AI54">
        <f t="shared" ref="AI54:AI59" si="52">0.5*(1+0.21*(L54-0.2)+L54*L54)</f>
        <v>0.52018711782640792</v>
      </c>
      <c r="AJ54">
        <f t="shared" ref="AJ54:AJ59" si="53">IF((1/(AI54+SQRT(AI54*AI54-L54*L54)))&gt;1,1,1/(AI54+SQRT(AI54*AI54-L54*L54)))</f>
        <v>0.99986591578049078</v>
      </c>
    </row>
    <row r="55" spans="1:36">
      <c r="A55">
        <v>2</v>
      </c>
      <c r="B55">
        <v>130</v>
      </c>
      <c r="C55">
        <v>195</v>
      </c>
      <c r="D55">
        <v>2.65</v>
      </c>
      <c r="E55">
        <v>340</v>
      </c>
      <c r="F55">
        <v>200</v>
      </c>
      <c r="H55">
        <v>18.46</v>
      </c>
      <c r="I55" s="8">
        <f t="shared" si="38"/>
        <v>29.45775411506467</v>
      </c>
      <c r="J55">
        <v>780</v>
      </c>
      <c r="K55" s="8">
        <f t="shared" si="39"/>
        <v>6</v>
      </c>
      <c r="L55" s="9">
        <f t="shared" si="40"/>
        <v>0.20061288528597068</v>
      </c>
      <c r="M55" s="8">
        <f t="shared" si="17"/>
        <v>73.584905660377359</v>
      </c>
      <c r="N55" s="11">
        <f t="shared" si="18"/>
        <v>1.7021229255442678</v>
      </c>
      <c r="O55">
        <v>812</v>
      </c>
      <c r="Q55" s="11">
        <f t="shared" si="41"/>
        <v>11.368</v>
      </c>
      <c r="R55" s="10">
        <f t="shared" si="42"/>
        <v>1012.7815913999999</v>
      </c>
      <c r="S55" s="11">
        <f t="shared" si="43"/>
        <v>0.80175232932260032</v>
      </c>
      <c r="T55" s="10">
        <f t="shared" si="44"/>
        <v>1012.6457933707837</v>
      </c>
      <c r="U55" s="10">
        <v>872</v>
      </c>
      <c r="V55" s="11">
        <f t="shared" si="45"/>
        <v>0.93119266055045868</v>
      </c>
      <c r="W55">
        <v>855</v>
      </c>
      <c r="X55" s="11">
        <f t="shared" si="19"/>
        <v>0.94970760233918128</v>
      </c>
      <c r="Y55">
        <v>14</v>
      </c>
      <c r="AA55" s="11">
        <f t="shared" si="20"/>
        <v>0.5688288619105325</v>
      </c>
      <c r="AC55">
        <f t="shared" si="46"/>
        <v>124.7</v>
      </c>
      <c r="AD55">
        <f t="shared" si="47"/>
        <v>189.7</v>
      </c>
      <c r="AE55">
        <f t="shared" si="48"/>
        <v>23655.59</v>
      </c>
      <c r="AF55">
        <f t="shared" si="49"/>
        <v>1694.4099999999999</v>
      </c>
      <c r="AG55">
        <f t="shared" si="50"/>
        <v>1551270774.540082</v>
      </c>
      <c r="AH55">
        <f t="shared" si="51"/>
        <v>25165.070453126384</v>
      </c>
      <c r="AI55">
        <f t="shared" si="52"/>
        <v>0.52018711782640792</v>
      </c>
      <c r="AJ55">
        <f t="shared" si="53"/>
        <v>0.99986591578049078</v>
      </c>
    </row>
    <row r="56" spans="1:36">
      <c r="A56">
        <v>3</v>
      </c>
      <c r="B56">
        <v>130</v>
      </c>
      <c r="C56">
        <v>195</v>
      </c>
      <c r="D56">
        <v>2.65</v>
      </c>
      <c r="E56">
        <v>340</v>
      </c>
      <c r="F56">
        <v>200</v>
      </c>
      <c r="H56">
        <v>18.46</v>
      </c>
      <c r="I56" s="8">
        <f t="shared" si="38"/>
        <v>29.45775411506467</v>
      </c>
      <c r="J56">
        <v>780</v>
      </c>
      <c r="K56" s="8">
        <f t="shared" si="39"/>
        <v>6</v>
      </c>
      <c r="L56" s="9">
        <f t="shared" si="40"/>
        <v>0.20061288528597068</v>
      </c>
      <c r="M56" s="8">
        <f t="shared" si="17"/>
        <v>73.584905660377359</v>
      </c>
      <c r="N56" s="11">
        <f t="shared" si="18"/>
        <v>1.7021229255442678</v>
      </c>
      <c r="O56">
        <v>646</v>
      </c>
      <c r="Q56" s="11">
        <f t="shared" si="41"/>
        <v>20.026</v>
      </c>
      <c r="R56" s="10">
        <f t="shared" si="42"/>
        <v>1012.7815913999999</v>
      </c>
      <c r="S56" s="11">
        <f t="shared" si="43"/>
        <v>0.63784729648078797</v>
      </c>
      <c r="T56" s="10">
        <f t="shared" si="44"/>
        <v>1012.6457933707837</v>
      </c>
      <c r="U56" s="10">
        <v>744</v>
      </c>
      <c r="V56" s="11">
        <f t="shared" si="45"/>
        <v>0.86827956989247312</v>
      </c>
      <c r="W56">
        <v>741</v>
      </c>
      <c r="X56" s="11">
        <f t="shared" si="19"/>
        <v>0.87179487179487181</v>
      </c>
      <c r="Y56">
        <v>31</v>
      </c>
      <c r="AA56" s="11">
        <f t="shared" si="20"/>
        <v>0.5688288619105325</v>
      </c>
      <c r="AC56">
        <f t="shared" si="46"/>
        <v>124.7</v>
      </c>
      <c r="AD56">
        <f t="shared" si="47"/>
        <v>189.7</v>
      </c>
      <c r="AE56">
        <f t="shared" si="48"/>
        <v>23655.59</v>
      </c>
      <c r="AF56">
        <f t="shared" si="49"/>
        <v>1694.4099999999999</v>
      </c>
      <c r="AG56">
        <f t="shared" si="50"/>
        <v>1551270774.540082</v>
      </c>
      <c r="AH56">
        <f t="shared" si="51"/>
        <v>25165.070453126384</v>
      </c>
      <c r="AI56">
        <f t="shared" si="52"/>
        <v>0.52018711782640792</v>
      </c>
      <c r="AJ56">
        <f t="shared" si="53"/>
        <v>0.99986591578049078</v>
      </c>
    </row>
    <row r="57" spans="1:36">
      <c r="A57">
        <v>4</v>
      </c>
      <c r="B57">
        <v>130</v>
      </c>
      <c r="C57">
        <v>195</v>
      </c>
      <c r="D57">
        <v>2.65</v>
      </c>
      <c r="E57">
        <v>340</v>
      </c>
      <c r="F57">
        <v>200</v>
      </c>
      <c r="H57">
        <v>18.46</v>
      </c>
      <c r="I57" s="8">
        <f t="shared" si="38"/>
        <v>29.45775411506467</v>
      </c>
      <c r="J57">
        <v>780</v>
      </c>
      <c r="K57" s="8">
        <f t="shared" si="39"/>
        <v>6</v>
      </c>
      <c r="L57" s="9">
        <f t="shared" si="40"/>
        <v>0.20061288528597068</v>
      </c>
      <c r="M57" s="8">
        <f t="shared" si="17"/>
        <v>73.584905660377359</v>
      </c>
      <c r="N57" s="11">
        <f t="shared" si="18"/>
        <v>1.7021229255442678</v>
      </c>
      <c r="O57">
        <v>610</v>
      </c>
      <c r="Q57" s="11">
        <f t="shared" si="41"/>
        <v>18.91</v>
      </c>
      <c r="R57" s="10">
        <f t="shared" si="42"/>
        <v>1012.7815913999999</v>
      </c>
      <c r="S57" s="11">
        <f t="shared" si="43"/>
        <v>0.6023016267078648</v>
      </c>
      <c r="T57" s="10">
        <f t="shared" si="44"/>
        <v>1012.6457933707837</v>
      </c>
      <c r="U57" s="10">
        <v>744</v>
      </c>
      <c r="V57" s="11">
        <f t="shared" si="45"/>
        <v>0.81989247311827962</v>
      </c>
      <c r="W57">
        <v>741</v>
      </c>
      <c r="X57" s="11">
        <f t="shared" si="19"/>
        <v>0.82321187584345479</v>
      </c>
      <c r="Y57">
        <v>31</v>
      </c>
      <c r="AA57" s="11">
        <f t="shared" si="20"/>
        <v>0.5688288619105325</v>
      </c>
      <c r="AC57">
        <f t="shared" si="46"/>
        <v>124.7</v>
      </c>
      <c r="AD57">
        <f t="shared" si="47"/>
        <v>189.7</v>
      </c>
      <c r="AE57">
        <f t="shared" si="48"/>
        <v>23655.59</v>
      </c>
      <c r="AF57">
        <f t="shared" si="49"/>
        <v>1694.4099999999999</v>
      </c>
      <c r="AG57">
        <f t="shared" si="50"/>
        <v>1551270774.540082</v>
      </c>
      <c r="AH57">
        <f t="shared" si="51"/>
        <v>25165.070453126384</v>
      </c>
      <c r="AI57">
        <f t="shared" si="52"/>
        <v>0.52018711782640792</v>
      </c>
      <c r="AJ57">
        <f t="shared" si="53"/>
        <v>0.99986591578049078</v>
      </c>
    </row>
    <row r="58" spans="1:36">
      <c r="A58">
        <v>5</v>
      </c>
      <c r="B58">
        <v>130</v>
      </c>
      <c r="C58">
        <v>195</v>
      </c>
      <c r="D58">
        <v>2.65</v>
      </c>
      <c r="E58">
        <v>340</v>
      </c>
      <c r="F58">
        <v>200</v>
      </c>
      <c r="H58">
        <v>18.46</v>
      </c>
      <c r="I58" s="8">
        <f t="shared" si="38"/>
        <v>29.45775411506467</v>
      </c>
      <c r="J58">
        <v>2340</v>
      </c>
      <c r="K58" s="8">
        <f t="shared" si="39"/>
        <v>18</v>
      </c>
      <c r="L58" s="9">
        <f t="shared" si="40"/>
        <v>0.60183865585791207</v>
      </c>
      <c r="M58" s="8">
        <f t="shared" si="17"/>
        <v>73.584905660377359</v>
      </c>
      <c r="N58" s="11">
        <f t="shared" si="18"/>
        <v>1.7021229255442678</v>
      </c>
      <c r="O58">
        <v>670</v>
      </c>
      <c r="Q58" s="11">
        <f t="shared" si="41"/>
        <v>9.3800000000000008</v>
      </c>
      <c r="R58" s="10">
        <f t="shared" si="42"/>
        <v>1012.7815913999999</v>
      </c>
      <c r="S58" s="11">
        <f t="shared" si="43"/>
        <v>0.66154440966273675</v>
      </c>
      <c r="T58" s="10">
        <f t="shared" si="44"/>
        <v>900.66351388803889</v>
      </c>
      <c r="U58" s="10">
        <v>788</v>
      </c>
      <c r="V58" s="11">
        <f t="shared" si="45"/>
        <v>0.85025380710659904</v>
      </c>
      <c r="W58">
        <v>772</v>
      </c>
      <c r="X58" s="11">
        <f t="shared" si="19"/>
        <v>0.86787564766839376</v>
      </c>
      <c r="Y58">
        <v>14</v>
      </c>
      <c r="AA58" s="11">
        <f t="shared" si="20"/>
        <v>0.5688288619105325</v>
      </c>
      <c r="AC58">
        <f t="shared" si="46"/>
        <v>124.7</v>
      </c>
      <c r="AD58">
        <f t="shared" si="47"/>
        <v>189.7</v>
      </c>
      <c r="AE58">
        <f t="shared" si="48"/>
        <v>23655.59</v>
      </c>
      <c r="AF58">
        <f t="shared" si="49"/>
        <v>1694.4099999999999</v>
      </c>
      <c r="AG58">
        <f t="shared" si="50"/>
        <v>1551270774.540082</v>
      </c>
      <c r="AH58">
        <f t="shared" si="51"/>
        <v>2796.1189392362649</v>
      </c>
      <c r="AI58">
        <f t="shared" si="52"/>
        <v>0.72329794270750991</v>
      </c>
      <c r="AJ58">
        <f t="shared" si="53"/>
        <v>0.88929688447735644</v>
      </c>
    </row>
    <row r="59" spans="1:36">
      <c r="A59">
        <v>6</v>
      </c>
      <c r="B59">
        <v>130</v>
      </c>
      <c r="C59">
        <v>195</v>
      </c>
      <c r="D59">
        <v>2.65</v>
      </c>
      <c r="E59">
        <v>340</v>
      </c>
      <c r="F59">
        <v>200</v>
      </c>
      <c r="H59">
        <v>18.46</v>
      </c>
      <c r="I59" s="8">
        <f t="shared" si="38"/>
        <v>29.45775411506467</v>
      </c>
      <c r="J59">
        <v>2340</v>
      </c>
      <c r="K59" s="8">
        <f t="shared" si="39"/>
        <v>18</v>
      </c>
      <c r="L59" s="9">
        <f t="shared" si="40"/>
        <v>0.60183865585791207</v>
      </c>
      <c r="M59" s="8">
        <f t="shared" si="17"/>
        <v>73.584905660377359</v>
      </c>
      <c r="N59" s="11">
        <f t="shared" si="18"/>
        <v>1.7021229255442678</v>
      </c>
      <c r="O59">
        <v>635</v>
      </c>
      <c r="Q59" s="11">
        <f t="shared" si="41"/>
        <v>8.89</v>
      </c>
      <c r="R59" s="10">
        <f t="shared" si="42"/>
        <v>1012.7815913999999</v>
      </c>
      <c r="S59" s="11">
        <f t="shared" si="43"/>
        <v>0.62698611960572814</v>
      </c>
      <c r="T59" s="10">
        <f t="shared" si="44"/>
        <v>900.66351388803889</v>
      </c>
      <c r="U59" s="10">
        <v>788</v>
      </c>
      <c r="V59" s="11">
        <f t="shared" si="45"/>
        <v>0.8058375634517766</v>
      </c>
      <c r="W59">
        <v>774</v>
      </c>
      <c r="X59" s="11">
        <f t="shared" si="19"/>
        <v>0.82041343669250644</v>
      </c>
      <c r="Y59">
        <v>14</v>
      </c>
      <c r="AA59" s="11">
        <f t="shared" si="20"/>
        <v>0.5688288619105325</v>
      </c>
      <c r="AC59">
        <f t="shared" si="46"/>
        <v>124.7</v>
      </c>
      <c r="AD59">
        <f t="shared" si="47"/>
        <v>189.7</v>
      </c>
      <c r="AE59">
        <f t="shared" si="48"/>
        <v>23655.59</v>
      </c>
      <c r="AF59">
        <f t="shared" si="49"/>
        <v>1694.4099999999999</v>
      </c>
      <c r="AG59">
        <f t="shared" si="50"/>
        <v>1551270774.540082</v>
      </c>
      <c r="AH59">
        <f t="shared" si="51"/>
        <v>2796.1189392362649</v>
      </c>
      <c r="AI59">
        <f t="shared" si="52"/>
        <v>0.72329794270750991</v>
      </c>
      <c r="AJ59">
        <f t="shared" si="53"/>
        <v>0.88929688447735644</v>
      </c>
    </row>
    <row r="60" spans="1:36">
      <c r="M60" s="8"/>
      <c r="N60" s="11"/>
      <c r="X60" s="11"/>
      <c r="AA60" s="11"/>
    </row>
    <row r="61" spans="1:36">
      <c r="A61" s="20" t="s">
        <v>100</v>
      </c>
      <c r="B61" s="20">
        <v>2004</v>
      </c>
      <c r="C61" s="21" t="s">
        <v>102</v>
      </c>
      <c r="G61" s="20" t="s">
        <v>65</v>
      </c>
      <c r="I61" s="20" t="s">
        <v>65</v>
      </c>
      <c r="M61" s="8"/>
      <c r="N61" s="11"/>
      <c r="X61" s="11"/>
      <c r="AA61" s="11"/>
    </row>
    <row r="62" spans="1:36">
      <c r="A62" s="21" t="s">
        <v>103</v>
      </c>
      <c r="B62">
        <v>200</v>
      </c>
      <c r="C62">
        <v>200</v>
      </c>
      <c r="D62">
        <v>3</v>
      </c>
      <c r="E62">
        <v>303.5</v>
      </c>
      <c r="F62">
        <v>206.5</v>
      </c>
      <c r="G62">
        <v>58.5</v>
      </c>
      <c r="H62">
        <v>46.8</v>
      </c>
      <c r="I62" s="8">
        <f>22*((H62+8)/10)^0.3</f>
        <v>36.648554380755819</v>
      </c>
      <c r="J62">
        <v>2310</v>
      </c>
      <c r="K62" s="8">
        <f>J62/B62</f>
        <v>11.55</v>
      </c>
      <c r="L62" s="9">
        <f>SQRT(R62/AH62)</f>
        <v>0.48262195971668448</v>
      </c>
      <c r="M62" s="8">
        <f t="shared" si="17"/>
        <v>66.666666666666671</v>
      </c>
      <c r="N62" s="11">
        <f t="shared" si="18"/>
        <v>1.4569706858382765</v>
      </c>
      <c r="O62">
        <v>1450</v>
      </c>
      <c r="Q62" s="11">
        <f>Y62*O62/1000</f>
        <v>43.5</v>
      </c>
      <c r="R62" s="10">
        <f>(E62*AF62+H62*AE62)/1000</f>
        <v>2478.8388</v>
      </c>
      <c r="S62" s="11">
        <f>O62/R62</f>
        <v>0.58495130865306777</v>
      </c>
      <c r="T62" s="10">
        <f>AJ62*R62</f>
        <v>2304.2830623990312</v>
      </c>
      <c r="U62" s="10">
        <v>1552</v>
      </c>
      <c r="V62" s="11">
        <f>O62/U62</f>
        <v>0.93427835051546393</v>
      </c>
      <c r="W62">
        <v>1598</v>
      </c>
      <c r="X62" s="11">
        <f t="shared" si="19"/>
        <v>0.90738423028785986</v>
      </c>
      <c r="Y62">
        <v>30</v>
      </c>
      <c r="AA62" s="11">
        <f t="shared" si="20"/>
        <v>0.28943955532727667</v>
      </c>
      <c r="AC62">
        <f>B62-2*D62</f>
        <v>194</v>
      </c>
      <c r="AD62">
        <f>C62-2*D62</f>
        <v>194</v>
      </c>
      <c r="AE62">
        <f>AC62*AD62</f>
        <v>37636</v>
      </c>
      <c r="AF62">
        <f>B62*C62-AE62</f>
        <v>2364</v>
      </c>
      <c r="AG62">
        <f>((C62*B62^3-AD62*AC62^3)*F62+(AD62*AC62^3)*I62*0.6)/12</f>
        <v>5753847433.2141695</v>
      </c>
      <c r="AH62">
        <f>(PI()^2*AG62)/(J62*J62)</f>
        <v>10642.266439918156</v>
      </c>
      <c r="AI62">
        <f>0.5*(1+0.21*(L62-0.2)+L62*L62)</f>
        <v>0.64613728377063839</v>
      </c>
      <c r="AJ62">
        <f>IF((1/(AI62+SQRT(AI62*AI62-L62*L62)))&gt;1,1,1/(AI62+SQRT(AI62*AI62-L62*L62)))</f>
        <v>0.92958165024649086</v>
      </c>
    </row>
    <row r="63" spans="1:36">
      <c r="A63" s="21" t="s">
        <v>104</v>
      </c>
      <c r="B63">
        <v>200</v>
      </c>
      <c r="C63">
        <v>200</v>
      </c>
      <c r="D63">
        <v>3</v>
      </c>
      <c r="E63">
        <v>303.5</v>
      </c>
      <c r="F63">
        <v>206.5</v>
      </c>
      <c r="G63">
        <v>58.5</v>
      </c>
      <c r="H63">
        <v>46.8</v>
      </c>
      <c r="I63" s="8">
        <f>22*((H63+8)/10)^0.3</f>
        <v>36.648554380755819</v>
      </c>
      <c r="J63">
        <v>2310</v>
      </c>
      <c r="K63" s="8">
        <f>J63/B63</f>
        <v>11.55</v>
      </c>
      <c r="L63" s="9">
        <f>SQRT(R63/AH63)</f>
        <v>0.48262195971668448</v>
      </c>
      <c r="M63" s="8">
        <f t="shared" si="17"/>
        <v>66.666666666666671</v>
      </c>
      <c r="N63" s="11">
        <f t="shared" si="18"/>
        <v>1.4569706858382765</v>
      </c>
      <c r="O63">
        <v>1415</v>
      </c>
      <c r="Q63" s="11">
        <f>Y63*O63/1000</f>
        <v>42.45</v>
      </c>
      <c r="R63" s="10">
        <f>(E63*AF63+H63*AE63)/1000</f>
        <v>2478.8388</v>
      </c>
      <c r="S63" s="11">
        <f>O63/R63</f>
        <v>0.57083179430626951</v>
      </c>
      <c r="T63" s="10">
        <f>AJ63*R63</f>
        <v>2304.2830623990312</v>
      </c>
      <c r="U63" s="10">
        <v>1552</v>
      </c>
      <c r="V63" s="11">
        <f>O63/U63</f>
        <v>0.91172680412371132</v>
      </c>
      <c r="W63">
        <v>1600</v>
      </c>
      <c r="X63" s="11">
        <f t="shared" si="19"/>
        <v>0.88437500000000002</v>
      </c>
      <c r="Y63">
        <v>30</v>
      </c>
      <c r="AA63" s="11">
        <f t="shared" si="20"/>
        <v>0.28943955532727667</v>
      </c>
      <c r="AC63">
        <f>B63-2*D63</f>
        <v>194</v>
      </c>
      <c r="AD63">
        <f>C63-2*D63</f>
        <v>194</v>
      </c>
      <c r="AE63">
        <f>AC63*AD63</f>
        <v>37636</v>
      </c>
      <c r="AF63">
        <f>B63*C63-AE63</f>
        <v>2364</v>
      </c>
      <c r="AG63">
        <f>((C63*B63^3-AD63*AC63^3)*F63+(AD63*AC63^3)*I63*0.6)/12</f>
        <v>5753847433.2141695</v>
      </c>
      <c r="AH63">
        <f>(PI()^2*AG63)/(J63*J63)</f>
        <v>10642.266439918156</v>
      </c>
      <c r="AI63">
        <f>0.5*(1+0.21*(L63-0.2)+L63*L63)</f>
        <v>0.64613728377063839</v>
      </c>
      <c r="AJ63">
        <f>IF((1/(AI63+SQRT(AI63*AI63-L63*L63)))&gt;1,1,1/(AI63+SQRT(AI63*AI63-L63*L63)))</f>
        <v>0.92958165024649086</v>
      </c>
    </row>
    <row r="64" spans="1:36">
      <c r="A64" s="21" t="s">
        <v>105</v>
      </c>
      <c r="B64">
        <v>200</v>
      </c>
      <c r="C64">
        <v>200</v>
      </c>
      <c r="D64">
        <v>3</v>
      </c>
      <c r="E64">
        <v>303.5</v>
      </c>
      <c r="F64">
        <v>206.5</v>
      </c>
      <c r="G64">
        <v>58.5</v>
      </c>
      <c r="H64">
        <v>46.8</v>
      </c>
      <c r="I64" s="8">
        <f>22*((H64+8)/10)^0.3</f>
        <v>36.648554380755819</v>
      </c>
      <c r="J64">
        <v>2310</v>
      </c>
      <c r="K64" s="8">
        <f>J64/B64</f>
        <v>11.55</v>
      </c>
      <c r="L64" s="9">
        <f>SQRT(R64/AH64)</f>
        <v>0.48262195971668448</v>
      </c>
      <c r="M64" s="8">
        <f t="shared" si="17"/>
        <v>66.666666666666671</v>
      </c>
      <c r="N64" s="11">
        <f t="shared" si="18"/>
        <v>1.4569706858382765</v>
      </c>
      <c r="O64">
        <v>1502</v>
      </c>
      <c r="Q64" s="11">
        <f>Y64*O64/1000</f>
        <v>45.06</v>
      </c>
      <c r="R64" s="10">
        <f>(E64*AF64+H64*AE64)/1000</f>
        <v>2478.8388</v>
      </c>
      <c r="S64" s="11">
        <f>O64/R64</f>
        <v>0.6059288728254536</v>
      </c>
      <c r="T64" s="10">
        <f>AJ64*R64</f>
        <v>2304.2830623990312</v>
      </c>
      <c r="U64" s="10">
        <v>1552</v>
      </c>
      <c r="V64" s="11">
        <f>O64/U64</f>
        <v>0.96778350515463918</v>
      </c>
      <c r="W64">
        <v>1595</v>
      </c>
      <c r="X64" s="11">
        <f t="shared" si="19"/>
        <v>0.94169278996865202</v>
      </c>
      <c r="Y64">
        <v>30</v>
      </c>
      <c r="AA64" s="11">
        <f t="shared" si="20"/>
        <v>0.28943955532727667</v>
      </c>
      <c r="AC64">
        <f>B64-2*D64</f>
        <v>194</v>
      </c>
      <c r="AD64">
        <f>C64-2*D64</f>
        <v>194</v>
      </c>
      <c r="AE64">
        <f>AC64*AD64</f>
        <v>37636</v>
      </c>
      <c r="AF64">
        <f>B64*C64-AE64</f>
        <v>2364</v>
      </c>
      <c r="AG64">
        <f>((C64*B64^3-AD64*AC64^3)*F64+(AD64*AC64^3)*I64*0.6)/12</f>
        <v>5753847433.2141695</v>
      </c>
      <c r="AH64">
        <f>(PI()^2*AG64)/(J64*J64)</f>
        <v>10642.266439918156</v>
      </c>
      <c r="AI64">
        <f>0.5*(1+0.21*(L64-0.2)+L64*L64)</f>
        <v>0.64613728377063839</v>
      </c>
      <c r="AJ64">
        <f>IF((1/(AI64+SQRT(AI64*AI64-L64*L64)))&gt;1,1,1/(AI64+SQRT(AI64*AI64-L64*L64)))</f>
        <v>0.92958165024649086</v>
      </c>
    </row>
    <row r="65" spans="1:36">
      <c r="A65" s="21" t="s">
        <v>106</v>
      </c>
      <c r="B65">
        <v>200</v>
      </c>
      <c r="C65">
        <v>200</v>
      </c>
      <c r="D65">
        <v>3</v>
      </c>
      <c r="E65">
        <v>303.5</v>
      </c>
      <c r="F65">
        <v>206.5</v>
      </c>
      <c r="G65">
        <v>58.5</v>
      </c>
      <c r="H65">
        <v>46.8</v>
      </c>
      <c r="I65" s="8">
        <f>22*((H65+8)/10)^0.3</f>
        <v>36.648554380755819</v>
      </c>
      <c r="J65">
        <v>2310</v>
      </c>
      <c r="K65" s="8">
        <f>J65/B65</f>
        <v>11.55</v>
      </c>
      <c r="L65" s="9">
        <f>SQRT(R65/AH65)</f>
        <v>0.48262195971668448</v>
      </c>
      <c r="M65" s="8">
        <f t="shared" si="17"/>
        <v>66.666666666666671</v>
      </c>
      <c r="N65" s="11">
        <f t="shared" si="18"/>
        <v>1.4569706858382765</v>
      </c>
      <c r="O65">
        <v>1535</v>
      </c>
      <c r="Q65" s="11">
        <f>Y65*O65/1000</f>
        <v>46.05</v>
      </c>
      <c r="R65" s="10">
        <f>(E65*AF65+H65*AE65)/1000</f>
        <v>2478.8388</v>
      </c>
      <c r="S65" s="11">
        <f>O65/R65</f>
        <v>0.6192415577810062</v>
      </c>
      <c r="T65" s="10">
        <f>AJ65*R65</f>
        <v>2304.2830623990312</v>
      </c>
      <c r="U65" s="10">
        <v>1552</v>
      </c>
      <c r="V65" s="11">
        <f>O65/U65</f>
        <v>0.98904639175257736</v>
      </c>
      <c r="W65">
        <v>1593</v>
      </c>
      <c r="X65" s="11">
        <f t="shared" si="19"/>
        <v>0.96359070935342117</v>
      </c>
      <c r="Y65">
        <v>30</v>
      </c>
      <c r="AA65" s="11">
        <f t="shared" si="20"/>
        <v>0.28943955532727667</v>
      </c>
      <c r="AC65">
        <f>B65-2*D65</f>
        <v>194</v>
      </c>
      <c r="AD65">
        <f>C65-2*D65</f>
        <v>194</v>
      </c>
      <c r="AE65">
        <f>AC65*AD65</f>
        <v>37636</v>
      </c>
      <c r="AF65">
        <f>B65*C65-AE65</f>
        <v>2364</v>
      </c>
      <c r="AG65">
        <f>((C65*B65^3-AD65*AC65^3)*F65+(AD65*AC65^3)*I65*0.6)/12</f>
        <v>5753847433.2141695</v>
      </c>
      <c r="AH65">
        <f>(PI()^2*AG65)/(J65*J65)</f>
        <v>10642.266439918156</v>
      </c>
      <c r="AI65">
        <f>0.5*(1+0.21*(L65-0.2)+L65*L65)</f>
        <v>0.64613728377063839</v>
      </c>
      <c r="AJ65">
        <f>IF((1/(AI65+SQRT(AI65*AI65-L65*L65)))&gt;1,1,1/(AI65+SQRT(AI65*AI65-L65*L65)))</f>
        <v>0.92958165024649086</v>
      </c>
    </row>
    <row r="66" spans="1:36">
      <c r="A66" s="21" t="s">
        <v>107</v>
      </c>
      <c r="B66">
        <v>200</v>
      </c>
      <c r="C66">
        <v>200</v>
      </c>
      <c r="D66">
        <v>3</v>
      </c>
      <c r="E66">
        <v>303.5</v>
      </c>
      <c r="F66">
        <v>206.5</v>
      </c>
      <c r="G66">
        <v>58.5</v>
      </c>
      <c r="H66">
        <v>46.8</v>
      </c>
      <c r="I66" s="8">
        <f>22*((H66+8)/10)^0.3</f>
        <v>36.648554380755819</v>
      </c>
      <c r="J66">
        <v>2310</v>
      </c>
      <c r="K66" s="8">
        <f>J66/B66</f>
        <v>11.55</v>
      </c>
      <c r="L66" s="9">
        <f>SQRT(R66/AH66)</f>
        <v>0.48262195971668448</v>
      </c>
      <c r="M66" s="8">
        <f t="shared" si="17"/>
        <v>66.666666666666671</v>
      </c>
      <c r="N66" s="11">
        <f t="shared" si="18"/>
        <v>1.4569706858382765</v>
      </c>
      <c r="O66">
        <v>1620</v>
      </c>
      <c r="Q66" s="11">
        <f>Y66*O66/1000</f>
        <v>48.6</v>
      </c>
      <c r="R66" s="10">
        <f>(E66*AF66+H66*AE66)/1000</f>
        <v>2478.8388</v>
      </c>
      <c r="S66" s="11">
        <f>O66/R66</f>
        <v>0.65353180690894463</v>
      </c>
      <c r="T66" s="10">
        <f>AJ66*R66</f>
        <v>2304.2830623990312</v>
      </c>
      <c r="U66" s="10">
        <v>1552</v>
      </c>
      <c r="V66" s="11">
        <f>O66/U66</f>
        <v>1.0438144329896908</v>
      </c>
      <c r="W66">
        <v>1587</v>
      </c>
      <c r="X66" s="11">
        <f t="shared" si="19"/>
        <v>1.0207939508506616</v>
      </c>
      <c r="Y66">
        <v>30</v>
      </c>
      <c r="AA66" s="11">
        <f t="shared" si="20"/>
        <v>0.28943955532727667</v>
      </c>
      <c r="AC66">
        <f>B66-2*D66</f>
        <v>194</v>
      </c>
      <c r="AD66">
        <f>C66-2*D66</f>
        <v>194</v>
      </c>
      <c r="AE66">
        <f>AC66*AD66</f>
        <v>37636</v>
      </c>
      <c r="AF66">
        <f>B66*C66-AE66</f>
        <v>2364</v>
      </c>
      <c r="AG66">
        <f>((C66*B66^3-AD66*AC66^3)*F66+(AD66*AC66^3)*I66*0.6)/12</f>
        <v>5753847433.2141695</v>
      </c>
      <c r="AH66">
        <f>(PI()^2*AG66)/(J66*J66)</f>
        <v>10642.266439918156</v>
      </c>
      <c r="AI66">
        <f>0.5*(1+0.21*(L66-0.2)+L66*L66)</f>
        <v>0.64613728377063839</v>
      </c>
      <c r="AJ66">
        <f>IF((1/(AI66+SQRT(AI66*AI66-L66*L66)))&gt;1,1,1/(AI66+SQRT(AI66*AI66-L66*L66)))</f>
        <v>0.92958165024649086</v>
      </c>
    </row>
    <row r="67" spans="1:36">
      <c r="B67" s="24" t="s">
        <v>108</v>
      </c>
      <c r="C67" s="24"/>
      <c r="D67" s="24"/>
      <c r="E67" s="24"/>
      <c r="F67" s="24"/>
      <c r="I67" s="8"/>
      <c r="K67" s="8"/>
      <c r="L67" s="9"/>
      <c r="M67" s="9"/>
      <c r="N67" s="9"/>
      <c r="O67" s="18" t="s">
        <v>109</v>
      </c>
      <c r="Q67" s="11"/>
      <c r="R67" s="10"/>
      <c r="S67" s="11"/>
      <c r="T67" s="10"/>
      <c r="U67" s="10"/>
      <c r="V67" s="11"/>
      <c r="W67" s="11"/>
      <c r="X67" s="11"/>
    </row>
    <row r="68" spans="1:36">
      <c r="M68" t="s">
        <v>110</v>
      </c>
      <c r="N68" s="10">
        <f>COUNTIF(N8:N66,"&gt;1")</f>
        <v>14</v>
      </c>
      <c r="O68" s="11">
        <f t="array" ref="O68">AVERAGE(IF(N8:N66 &gt;1,V8:V66))</f>
        <v>0.94045945912372475</v>
      </c>
      <c r="U68" s="21" t="s">
        <v>111</v>
      </c>
      <c r="V68" s="10">
        <f>COUNT(V8:V66)</f>
        <v>51</v>
      </c>
      <c r="W68" s="10"/>
      <c r="X68" s="10">
        <f>COUNT(X8:X66)</f>
        <v>51</v>
      </c>
      <c r="AA68" s="10">
        <f>COUNTIF(AA8:AA66,"&lt;0.2")</f>
        <v>0</v>
      </c>
      <c r="AB68" t="s">
        <v>112</v>
      </c>
    </row>
    <row r="69" spans="1:36">
      <c r="G69" t="s">
        <v>113</v>
      </c>
      <c r="H69">
        <f>COUNTIF(H8:H66,"&gt;=60")</f>
        <v>0</v>
      </c>
      <c r="M69" t="s">
        <v>114</v>
      </c>
      <c r="N69" s="10">
        <f>COUNTIF(N8:N66,"&lt;=1")</f>
        <v>37</v>
      </c>
      <c r="O69" s="11">
        <f t="array" ref="O69">AVERAGE(IF(N8:N66 &lt;1,IF(N8:N66 &gt;0.01,V8:V66)))</f>
        <v>1.1676771932027459</v>
      </c>
      <c r="U69" s="21" t="s">
        <v>115</v>
      </c>
      <c r="V69" s="10">
        <f>COUNTIF(V8:V66,"&lt;1")</f>
        <v>15</v>
      </c>
      <c r="W69" s="10"/>
      <c r="X69" s="10">
        <f>COUNTIF(X8:X66,"&lt;1")</f>
        <v>11</v>
      </c>
      <c r="AA69" s="10">
        <f>COUNTIF(AA8:AA66,"&gt;0.9")</f>
        <v>0</v>
      </c>
      <c r="AB69" t="s">
        <v>116</v>
      </c>
    </row>
    <row r="70" spans="1:36">
      <c r="U70" s="21" t="s">
        <v>117</v>
      </c>
      <c r="V70" s="19">
        <f>V69/V68</f>
        <v>0.29411764705882354</v>
      </c>
      <c r="W70" s="19"/>
      <c r="X70" s="19">
        <f>X69/X68</f>
        <v>0.21568627450980393</v>
      </c>
    </row>
  </sheetData>
  <mergeCells count="8">
    <mergeCell ref="W1:X1"/>
    <mergeCell ref="W2:X2"/>
    <mergeCell ref="A1:H1"/>
    <mergeCell ref="B2:E2"/>
    <mergeCell ref="B67:F67"/>
    <mergeCell ref="J3:L3"/>
    <mergeCell ref="U1:V1"/>
    <mergeCell ref="U2:V2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4"/>
  <sheetViews>
    <sheetView tabSelected="1" zoomScaleNormal="100" workbookViewId="0" xr3:uid="{958C4451-9541-5A59-BF78-D2F731DF1C81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14" width="7.7109375" customWidth="1"/>
    <col min="15" max="15" width="3.7109375" customWidth="1"/>
    <col min="16" max="20" width="7.7109375" customWidth="1"/>
    <col min="21" max="21" width="3.7109375" customWidth="1"/>
    <col min="22" max="24" width="7.7109375" customWidth="1"/>
    <col min="25" max="25" width="3.7109375" customWidth="1"/>
    <col min="26" max="28" width="7.7109375" customWidth="1"/>
  </cols>
  <sheetData>
    <row r="1" spans="1:28">
      <c r="A1" s="23" t="s">
        <v>0</v>
      </c>
      <c r="B1" s="23"/>
      <c r="C1" s="23"/>
      <c r="D1" s="23"/>
      <c r="E1" s="23"/>
      <c r="F1" s="23"/>
      <c r="G1" s="23"/>
      <c r="H1" s="23"/>
      <c r="Z1" s="23" t="s">
        <v>118</v>
      </c>
      <c r="AA1" s="23"/>
      <c r="AB1" s="23"/>
    </row>
    <row r="2" spans="1:28">
      <c r="A2" s="2"/>
      <c r="B2" s="23" t="s">
        <v>3</v>
      </c>
      <c r="C2" s="23"/>
      <c r="D2" s="23"/>
      <c r="E2" s="23"/>
      <c r="I2" s="21"/>
      <c r="J2" s="21"/>
      <c r="K2" s="21"/>
      <c r="L2" s="21"/>
      <c r="M2" s="21"/>
      <c r="Z2" s="23" t="s">
        <v>119</v>
      </c>
      <c r="AA2" s="23"/>
      <c r="AB2" s="23"/>
    </row>
    <row r="3" spans="1:28">
      <c r="A3" s="20" t="s">
        <v>5</v>
      </c>
      <c r="I3" s="2" t="s">
        <v>6</v>
      </c>
      <c r="J3" s="25" t="s">
        <v>7</v>
      </c>
      <c r="K3" s="25"/>
      <c r="L3" s="25"/>
      <c r="R3" s="23" t="s">
        <v>120</v>
      </c>
      <c r="S3" s="23"/>
      <c r="T3" s="23"/>
      <c r="V3" s="23" t="s">
        <v>121</v>
      </c>
      <c r="W3" s="23"/>
      <c r="X3" s="23"/>
      <c r="Z3" s="24" t="s">
        <v>122</v>
      </c>
      <c r="AA3" s="24"/>
      <c r="AB3" s="24"/>
    </row>
    <row r="4" spans="1:28">
      <c r="A4" s="2"/>
      <c r="P4" s="23" t="s">
        <v>11</v>
      </c>
      <c r="Q4" s="23"/>
      <c r="R4" s="23" t="s">
        <v>123</v>
      </c>
      <c r="S4" s="23"/>
      <c r="V4" s="23" t="s">
        <v>124</v>
      </c>
      <c r="W4" s="23"/>
      <c r="Z4" s="23" t="s">
        <v>124</v>
      </c>
      <c r="AA4" s="23"/>
    </row>
    <row r="5" spans="1:28">
      <c r="A5" s="5" t="s">
        <v>21</v>
      </c>
      <c r="B5" s="20" t="s">
        <v>22</v>
      </c>
      <c r="C5" s="20" t="s">
        <v>23</v>
      </c>
      <c r="D5" s="20" t="s">
        <v>24</v>
      </c>
      <c r="E5" s="20" t="s">
        <v>25</v>
      </c>
      <c r="F5" s="20" t="s">
        <v>26</v>
      </c>
      <c r="G5" s="20" t="s">
        <v>27</v>
      </c>
      <c r="H5" s="20" t="s">
        <v>28</v>
      </c>
      <c r="I5" s="20" t="s">
        <v>29</v>
      </c>
      <c r="J5" s="20" t="s">
        <v>30</v>
      </c>
      <c r="K5" s="20" t="s">
        <v>41</v>
      </c>
      <c r="L5" s="20" t="s">
        <v>42</v>
      </c>
      <c r="M5" s="20" t="s">
        <v>31</v>
      </c>
      <c r="N5" s="20" t="s">
        <v>32</v>
      </c>
      <c r="P5" s="20" t="s">
        <v>40</v>
      </c>
      <c r="Q5" s="20" t="s">
        <v>125</v>
      </c>
      <c r="R5" s="20" t="s">
        <v>40</v>
      </c>
      <c r="S5" s="20" t="s">
        <v>126</v>
      </c>
      <c r="T5" s="3" t="s">
        <v>127</v>
      </c>
      <c r="V5" s="20" t="s">
        <v>40</v>
      </c>
      <c r="W5" s="20" t="s">
        <v>126</v>
      </c>
      <c r="X5" s="3" t="s">
        <v>127</v>
      </c>
      <c r="Z5" s="20" t="s">
        <v>40</v>
      </c>
      <c r="AA5" s="20" t="s">
        <v>126</v>
      </c>
      <c r="AB5" s="3" t="s">
        <v>127</v>
      </c>
    </row>
    <row r="6" spans="1:28">
      <c r="A6" s="5"/>
      <c r="B6" s="20" t="s">
        <v>52</v>
      </c>
      <c r="C6" s="20" t="s">
        <v>52</v>
      </c>
      <c r="D6" s="20" t="s">
        <v>52</v>
      </c>
      <c r="E6" s="20" t="s">
        <v>53</v>
      </c>
      <c r="F6" s="20" t="s">
        <v>54</v>
      </c>
      <c r="G6" s="20" t="s">
        <v>53</v>
      </c>
      <c r="H6" s="20" t="s">
        <v>53</v>
      </c>
      <c r="I6" s="20" t="s">
        <v>54</v>
      </c>
      <c r="J6" s="20" t="s">
        <v>52</v>
      </c>
      <c r="K6" s="20" t="s">
        <v>52</v>
      </c>
      <c r="L6" s="20" t="s">
        <v>52</v>
      </c>
      <c r="M6" s="20"/>
      <c r="N6" s="20" t="s">
        <v>55</v>
      </c>
      <c r="P6" s="20" t="s">
        <v>57</v>
      </c>
      <c r="Q6" s="20" t="s">
        <v>58</v>
      </c>
      <c r="R6" s="20" t="s">
        <v>57</v>
      </c>
      <c r="S6" s="20" t="s">
        <v>58</v>
      </c>
      <c r="T6" s="20" t="s">
        <v>128</v>
      </c>
      <c r="V6" s="20" t="s">
        <v>57</v>
      </c>
      <c r="W6" s="20" t="s">
        <v>58</v>
      </c>
      <c r="X6" s="20" t="s">
        <v>128</v>
      </c>
      <c r="Z6" s="20" t="s">
        <v>57</v>
      </c>
      <c r="AA6" s="20" t="s">
        <v>58</v>
      </c>
      <c r="AB6" s="20" t="s">
        <v>128</v>
      </c>
    </row>
    <row r="7" spans="1:28">
      <c r="A7" s="7" t="s">
        <v>63</v>
      </c>
      <c r="B7" s="20">
        <v>1996</v>
      </c>
      <c r="C7" s="21" t="s">
        <v>64</v>
      </c>
      <c r="H7" s="20" t="s">
        <v>65</v>
      </c>
      <c r="I7" s="20" t="s">
        <v>65</v>
      </c>
    </row>
    <row r="8" spans="1:28">
      <c r="A8">
        <v>1</v>
      </c>
      <c r="B8">
        <v>100</v>
      </c>
      <c r="C8">
        <v>150</v>
      </c>
      <c r="D8">
        <v>5</v>
      </c>
      <c r="E8">
        <v>330.8</v>
      </c>
      <c r="F8">
        <v>205</v>
      </c>
      <c r="G8">
        <v>45.1</v>
      </c>
      <c r="H8">
        <f t="shared" ref="H8:H22" si="0">0.8*G8</f>
        <v>36.080000000000005</v>
      </c>
      <c r="I8" s="8">
        <f>Data!I8</f>
        <v>34.331687959845056</v>
      </c>
      <c r="J8">
        <v>2940</v>
      </c>
      <c r="K8">
        <v>6</v>
      </c>
      <c r="L8">
        <v>0</v>
      </c>
      <c r="M8" s="8">
        <f t="shared" ref="M8:M22" si="1">J8/B8</f>
        <v>29.4</v>
      </c>
      <c r="N8" s="11">
        <f>Data!L8</f>
        <v>1.0487364451299039</v>
      </c>
      <c r="P8">
        <v>882</v>
      </c>
      <c r="Q8" s="11">
        <v>5.2919999999999998</v>
      </c>
      <c r="R8">
        <v>907</v>
      </c>
      <c r="S8">
        <v>5.5</v>
      </c>
      <c r="T8" s="11">
        <f t="shared" ref="T8:T22" si="2">P8/R8</f>
        <v>0.97243660418963618</v>
      </c>
      <c r="V8">
        <v>710</v>
      </c>
      <c r="W8" s="8">
        <v>6.7</v>
      </c>
      <c r="X8" s="11">
        <f t="shared" ref="X8:X22" si="3">P8/V8</f>
        <v>1.2422535211267605</v>
      </c>
      <c r="Z8">
        <v>602</v>
      </c>
      <c r="AA8" s="8">
        <v>14.9</v>
      </c>
      <c r="AB8" s="11">
        <f>P8/Z8</f>
        <v>1.4651162790697674</v>
      </c>
    </row>
    <row r="9" spans="1:28">
      <c r="A9" s="2" t="s">
        <v>66</v>
      </c>
      <c r="B9">
        <v>100</v>
      </c>
      <c r="C9">
        <v>150</v>
      </c>
      <c r="D9">
        <v>5</v>
      </c>
      <c r="E9">
        <v>331.5</v>
      </c>
      <c r="F9">
        <v>206</v>
      </c>
      <c r="G9">
        <v>47.2</v>
      </c>
      <c r="H9">
        <f t="shared" si="0"/>
        <v>37.760000000000005</v>
      </c>
      <c r="I9" s="8">
        <f>Data!I9</f>
        <v>34.719102145097914</v>
      </c>
      <c r="J9">
        <v>2940</v>
      </c>
      <c r="K9">
        <v>15</v>
      </c>
      <c r="L9">
        <v>0</v>
      </c>
      <c r="M9" s="8">
        <f t="shared" si="1"/>
        <v>29.4</v>
      </c>
      <c r="N9" s="11">
        <f>Data!L9</f>
        <v>1.055124532921069</v>
      </c>
      <c r="P9">
        <v>670</v>
      </c>
      <c r="Q9" s="11">
        <v>10.050000000000001</v>
      </c>
      <c r="R9">
        <v>781</v>
      </c>
      <c r="S9">
        <v>11.7</v>
      </c>
      <c r="T9" s="11">
        <f t="shared" si="2"/>
        <v>0.85787451984635088</v>
      </c>
      <c r="V9">
        <v>629</v>
      </c>
      <c r="W9" s="8">
        <v>13.4</v>
      </c>
      <c r="X9" s="11">
        <f t="shared" si="3"/>
        <v>1.0651828298887123</v>
      </c>
      <c r="Z9">
        <v>545</v>
      </c>
      <c r="AA9" s="8">
        <v>19.2</v>
      </c>
      <c r="AB9" s="11">
        <f t="shared" ref="AB9:AB67" si="4">P9/Z9</f>
        <v>1.2293577981651376</v>
      </c>
    </row>
    <row r="10" spans="1:28">
      <c r="A10" s="2" t="s">
        <v>67</v>
      </c>
      <c r="B10">
        <v>100</v>
      </c>
      <c r="C10">
        <v>150</v>
      </c>
      <c r="D10">
        <v>5</v>
      </c>
      <c r="E10">
        <v>331.5</v>
      </c>
      <c r="F10">
        <v>206</v>
      </c>
      <c r="G10">
        <v>48.1</v>
      </c>
      <c r="H10">
        <f t="shared" si="0"/>
        <v>38.480000000000004</v>
      </c>
      <c r="I10" s="8">
        <f>Data!I10</f>
        <v>34.882091473864762</v>
      </c>
      <c r="J10">
        <v>2940</v>
      </c>
      <c r="K10">
        <v>45</v>
      </c>
      <c r="L10">
        <v>0</v>
      </c>
      <c r="M10" s="8">
        <f t="shared" si="1"/>
        <v>29.4</v>
      </c>
      <c r="N10" s="11">
        <f>Data!L10</f>
        <v>1.0584422842588779</v>
      </c>
      <c r="P10">
        <v>470</v>
      </c>
      <c r="Q10" s="11">
        <v>21.15</v>
      </c>
      <c r="R10">
        <v>519</v>
      </c>
      <c r="S10">
        <v>23.4</v>
      </c>
      <c r="T10" s="11">
        <f t="shared" si="2"/>
        <v>0.90558766859344897</v>
      </c>
      <c r="V10">
        <v>439</v>
      </c>
      <c r="W10" s="8">
        <v>25.7</v>
      </c>
      <c r="X10" s="11">
        <f t="shared" si="3"/>
        <v>1.070615034168565</v>
      </c>
      <c r="Z10">
        <v>394</v>
      </c>
      <c r="AA10" s="8">
        <v>28.1</v>
      </c>
      <c r="AB10" s="11">
        <f t="shared" si="4"/>
        <v>1.1928934010152283</v>
      </c>
    </row>
    <row r="11" spans="1:28">
      <c r="A11" s="2" t="s">
        <v>68</v>
      </c>
      <c r="B11">
        <v>100</v>
      </c>
      <c r="C11">
        <v>150</v>
      </c>
      <c r="D11">
        <v>5</v>
      </c>
      <c r="E11">
        <v>321.60000000000002</v>
      </c>
      <c r="F11">
        <v>203</v>
      </c>
      <c r="G11">
        <v>47.4</v>
      </c>
      <c r="H11">
        <f t="shared" si="0"/>
        <v>37.92</v>
      </c>
      <c r="I11" s="8">
        <f>Data!I11</f>
        <v>34.755476303545159</v>
      </c>
      <c r="J11">
        <v>2940</v>
      </c>
      <c r="K11">
        <v>75</v>
      </c>
      <c r="L11">
        <v>0</v>
      </c>
      <c r="M11" s="8">
        <f t="shared" si="1"/>
        <v>29.4</v>
      </c>
      <c r="N11" s="11">
        <f>Data!L11</f>
        <v>1.0522885819991259</v>
      </c>
      <c r="P11">
        <v>339</v>
      </c>
      <c r="Q11" s="11">
        <v>25.425000000000001</v>
      </c>
      <c r="R11">
        <v>373</v>
      </c>
      <c r="S11">
        <v>28</v>
      </c>
      <c r="T11" s="11">
        <f t="shared" si="2"/>
        <v>0.90884718498659522</v>
      </c>
      <c r="V11">
        <v>330</v>
      </c>
      <c r="W11" s="8">
        <v>30.2</v>
      </c>
      <c r="X11" s="11">
        <f t="shared" si="3"/>
        <v>1.0272727272727273</v>
      </c>
      <c r="Z11">
        <v>304</v>
      </c>
      <c r="AA11" s="8">
        <v>31.3</v>
      </c>
      <c r="AB11" s="11">
        <f t="shared" si="4"/>
        <v>1.1151315789473684</v>
      </c>
    </row>
    <row r="12" spans="1:28">
      <c r="A12">
        <v>2</v>
      </c>
      <c r="B12">
        <v>100</v>
      </c>
      <c r="C12">
        <v>150</v>
      </c>
      <c r="D12">
        <v>5</v>
      </c>
      <c r="E12">
        <v>360.8</v>
      </c>
      <c r="F12">
        <v>205</v>
      </c>
      <c r="G12">
        <v>47</v>
      </c>
      <c r="H12">
        <f t="shared" si="0"/>
        <v>37.6</v>
      </c>
      <c r="I12" s="8">
        <f>Data!I12</f>
        <v>34.682638849705768</v>
      </c>
      <c r="J12">
        <v>4000</v>
      </c>
      <c r="K12">
        <v>6</v>
      </c>
      <c r="L12">
        <v>0</v>
      </c>
      <c r="M12" s="8">
        <f t="shared" si="1"/>
        <v>40</v>
      </c>
      <c r="N12" s="11">
        <f>Data!L12</f>
        <v>1.4766908945213992</v>
      </c>
      <c r="P12">
        <v>667</v>
      </c>
      <c r="Q12" s="11">
        <v>4.0019999999999998</v>
      </c>
      <c r="R12">
        <v>685</v>
      </c>
      <c r="S12">
        <v>4.0999999999999996</v>
      </c>
      <c r="T12" s="11">
        <f t="shared" si="2"/>
        <v>0.97372262773722629</v>
      </c>
      <c r="V12">
        <v>466</v>
      </c>
      <c r="W12" s="8">
        <v>5.0999999999999996</v>
      </c>
      <c r="X12" s="11">
        <f t="shared" si="3"/>
        <v>1.4313304721030042</v>
      </c>
      <c r="Z12">
        <v>385</v>
      </c>
      <c r="AA12" s="8">
        <v>13.3</v>
      </c>
      <c r="AB12" s="11">
        <f t="shared" si="4"/>
        <v>1.7324675324675325</v>
      </c>
    </row>
    <row r="13" spans="1:28">
      <c r="A13">
        <v>3</v>
      </c>
      <c r="B13">
        <v>100</v>
      </c>
      <c r="C13">
        <v>150</v>
      </c>
      <c r="D13">
        <v>5</v>
      </c>
      <c r="E13">
        <v>355.5</v>
      </c>
      <c r="F13">
        <v>205</v>
      </c>
      <c r="G13">
        <v>47.7</v>
      </c>
      <c r="H13">
        <f t="shared" si="0"/>
        <v>38.160000000000004</v>
      </c>
      <c r="I13" s="8">
        <f>Data!I13</f>
        <v>34.809871561665346</v>
      </c>
      <c r="J13">
        <v>4000</v>
      </c>
      <c r="K13">
        <v>15</v>
      </c>
      <c r="L13">
        <v>0</v>
      </c>
      <c r="M13" s="8">
        <f t="shared" si="1"/>
        <v>40</v>
      </c>
      <c r="N13" s="11">
        <f>Data!L13</f>
        <v>1.4730858800688764</v>
      </c>
      <c r="P13">
        <v>650</v>
      </c>
      <c r="Q13" s="11">
        <v>9.75</v>
      </c>
      <c r="R13">
        <v>590</v>
      </c>
      <c r="S13">
        <v>8.9</v>
      </c>
      <c r="T13" s="11">
        <f t="shared" si="2"/>
        <v>1.1016949152542372</v>
      </c>
      <c r="V13">
        <v>408</v>
      </c>
      <c r="W13" s="8">
        <v>10.8</v>
      </c>
      <c r="X13" s="11">
        <f t="shared" si="3"/>
        <v>1.5931372549019607</v>
      </c>
      <c r="Z13">
        <v>343</v>
      </c>
      <c r="AA13" s="8">
        <v>17.100000000000001</v>
      </c>
      <c r="AB13" s="11">
        <f t="shared" si="4"/>
        <v>1.8950437317784257</v>
      </c>
    </row>
    <row r="14" spans="1:28">
      <c r="A14">
        <v>4</v>
      </c>
      <c r="B14">
        <v>100</v>
      </c>
      <c r="C14">
        <v>150</v>
      </c>
      <c r="D14">
        <v>5</v>
      </c>
      <c r="E14">
        <v>350.5</v>
      </c>
      <c r="F14">
        <v>205</v>
      </c>
      <c r="G14">
        <v>48.3</v>
      </c>
      <c r="H14">
        <f t="shared" si="0"/>
        <v>38.64</v>
      </c>
      <c r="I14" s="8">
        <f>Data!I14</f>
        <v>34.918070971262964</v>
      </c>
      <c r="J14">
        <v>4000</v>
      </c>
      <c r="K14">
        <v>45</v>
      </c>
      <c r="L14">
        <v>0</v>
      </c>
      <c r="M14" s="8">
        <f t="shared" si="1"/>
        <v>40</v>
      </c>
      <c r="N14" s="11">
        <f>Data!L14</f>
        <v>1.469388982205923</v>
      </c>
      <c r="P14">
        <v>443</v>
      </c>
      <c r="Q14" s="11">
        <v>19.934999999999999</v>
      </c>
      <c r="R14">
        <v>402</v>
      </c>
      <c r="S14">
        <v>18.2</v>
      </c>
      <c r="T14" s="11">
        <f t="shared" si="2"/>
        <v>1.1019900497512438</v>
      </c>
      <c r="V14">
        <v>302</v>
      </c>
      <c r="W14" s="8">
        <v>20.6</v>
      </c>
      <c r="X14" s="11">
        <f t="shared" si="3"/>
        <v>1.4668874172185431</v>
      </c>
      <c r="Z14">
        <v>267</v>
      </c>
      <c r="AA14" s="8">
        <v>23.7</v>
      </c>
      <c r="AB14" s="11">
        <f t="shared" si="4"/>
        <v>1.6591760299625469</v>
      </c>
    </row>
    <row r="15" spans="1:28">
      <c r="A15">
        <v>5</v>
      </c>
      <c r="B15">
        <v>100</v>
      </c>
      <c r="C15">
        <v>150</v>
      </c>
      <c r="D15">
        <v>5</v>
      </c>
      <c r="E15">
        <v>342.5</v>
      </c>
      <c r="F15">
        <v>205</v>
      </c>
      <c r="G15">
        <v>48.2</v>
      </c>
      <c r="H15">
        <f t="shared" si="0"/>
        <v>38.56</v>
      </c>
      <c r="I15" s="8">
        <f>Data!I15</f>
        <v>34.90009204114714</v>
      </c>
      <c r="J15">
        <v>4000</v>
      </c>
      <c r="K15">
        <v>75</v>
      </c>
      <c r="L15">
        <v>0</v>
      </c>
      <c r="M15" s="8">
        <f t="shared" si="1"/>
        <v>40</v>
      </c>
      <c r="N15" s="11">
        <f>Data!L15</f>
        <v>1.458234005372893</v>
      </c>
      <c r="P15">
        <v>344</v>
      </c>
      <c r="Q15" s="11">
        <v>25.8</v>
      </c>
      <c r="R15">
        <v>306</v>
      </c>
      <c r="S15">
        <v>23</v>
      </c>
      <c r="T15" s="11">
        <f t="shared" si="2"/>
        <v>1.1241830065359477</v>
      </c>
      <c r="V15">
        <v>241</v>
      </c>
      <c r="W15" s="8">
        <v>25.4</v>
      </c>
      <c r="X15" s="11">
        <f t="shared" si="3"/>
        <v>1.4273858921161826</v>
      </c>
      <c r="Z15">
        <v>219</v>
      </c>
      <c r="AA15" s="8">
        <v>27.2</v>
      </c>
      <c r="AB15" s="11">
        <f t="shared" si="4"/>
        <v>1.5707762557077625</v>
      </c>
    </row>
    <row r="16" spans="1:28">
      <c r="A16">
        <v>6</v>
      </c>
      <c r="B16">
        <v>100</v>
      </c>
      <c r="C16">
        <v>150</v>
      </c>
      <c r="D16">
        <v>5</v>
      </c>
      <c r="E16">
        <v>360.8</v>
      </c>
      <c r="F16">
        <v>205</v>
      </c>
      <c r="G16">
        <v>45.7</v>
      </c>
      <c r="H16">
        <f t="shared" si="0"/>
        <v>36.56</v>
      </c>
      <c r="I16" s="8">
        <f>Data!I16</f>
        <v>34.443417464296942</v>
      </c>
      <c r="J16">
        <v>4910</v>
      </c>
      <c r="K16">
        <v>6</v>
      </c>
      <c r="L16">
        <v>0</v>
      </c>
      <c r="M16" s="8">
        <f t="shared" si="1"/>
        <v>49.1</v>
      </c>
      <c r="N16" s="11">
        <f>Data!L16</f>
        <v>1.8048576266591456</v>
      </c>
      <c r="P16">
        <v>536</v>
      </c>
      <c r="Q16" s="11">
        <v>3.2160000000000002</v>
      </c>
      <c r="R16">
        <v>523</v>
      </c>
      <c r="S16">
        <v>3.1</v>
      </c>
      <c r="T16" s="11">
        <f t="shared" si="2"/>
        <v>1.0248565965583174</v>
      </c>
      <c r="V16">
        <v>329</v>
      </c>
      <c r="W16" s="8">
        <v>4</v>
      </c>
      <c r="X16" s="11">
        <f t="shared" si="3"/>
        <v>1.6291793313069909</v>
      </c>
      <c r="Z16">
        <v>270</v>
      </c>
      <c r="AA16" s="8">
        <v>11.9</v>
      </c>
      <c r="AB16" s="11">
        <f t="shared" si="4"/>
        <v>1.9851851851851852</v>
      </c>
    </row>
    <row r="17" spans="1:28">
      <c r="A17">
        <v>7</v>
      </c>
      <c r="B17">
        <v>100</v>
      </c>
      <c r="C17">
        <v>150</v>
      </c>
      <c r="D17">
        <v>5</v>
      </c>
      <c r="E17">
        <v>342.5</v>
      </c>
      <c r="F17">
        <v>205</v>
      </c>
      <c r="G17">
        <v>46.3</v>
      </c>
      <c r="H17">
        <f t="shared" si="0"/>
        <v>37.04</v>
      </c>
      <c r="I17" s="8">
        <f>Data!I17</f>
        <v>34.554307630688179</v>
      </c>
      <c r="J17">
        <v>4910</v>
      </c>
      <c r="K17">
        <v>15</v>
      </c>
      <c r="L17">
        <v>0</v>
      </c>
      <c r="M17" s="8">
        <f t="shared" si="1"/>
        <v>49.1</v>
      </c>
      <c r="N17" s="11">
        <f>Data!L17</f>
        <v>1.7784021590687149</v>
      </c>
      <c r="P17">
        <v>558</v>
      </c>
      <c r="Q17" s="11">
        <v>8.3699999999999992</v>
      </c>
      <c r="R17">
        <v>440</v>
      </c>
      <c r="S17">
        <v>6.6</v>
      </c>
      <c r="T17" s="11">
        <f t="shared" si="2"/>
        <v>1.2681818181818181</v>
      </c>
      <c r="V17">
        <v>291</v>
      </c>
      <c r="W17" s="8">
        <v>8.6999999999999993</v>
      </c>
      <c r="X17" s="11">
        <f t="shared" si="3"/>
        <v>1.9175257731958764</v>
      </c>
      <c r="Z17">
        <v>240</v>
      </c>
      <c r="AA17" s="8">
        <v>15.1</v>
      </c>
      <c r="AB17" s="11">
        <f t="shared" si="4"/>
        <v>2.3250000000000002</v>
      </c>
    </row>
    <row r="18" spans="1:28">
      <c r="A18">
        <v>8</v>
      </c>
      <c r="B18">
        <v>100</v>
      </c>
      <c r="C18">
        <v>150</v>
      </c>
      <c r="D18">
        <v>5</v>
      </c>
      <c r="E18">
        <v>368</v>
      </c>
      <c r="F18">
        <v>205</v>
      </c>
      <c r="G18">
        <v>47.3</v>
      </c>
      <c r="H18">
        <f t="shared" si="0"/>
        <v>37.839999999999996</v>
      </c>
      <c r="I18" s="8">
        <f>Data!I18</f>
        <v>34.73730033336394</v>
      </c>
      <c r="J18">
        <v>4910</v>
      </c>
      <c r="K18">
        <v>45</v>
      </c>
      <c r="L18">
        <v>0</v>
      </c>
      <c r="M18" s="8">
        <f t="shared" si="1"/>
        <v>49.1</v>
      </c>
      <c r="N18" s="11">
        <f>Data!L18</f>
        <v>1.8260667667281596</v>
      </c>
      <c r="P18">
        <v>356</v>
      </c>
      <c r="Q18" s="11">
        <v>16.02</v>
      </c>
      <c r="R18">
        <v>321</v>
      </c>
      <c r="S18">
        <v>14.5</v>
      </c>
      <c r="T18" s="11">
        <f t="shared" si="2"/>
        <v>1.1090342679127725</v>
      </c>
      <c r="V18">
        <v>233</v>
      </c>
      <c r="W18" s="8">
        <v>17.2</v>
      </c>
      <c r="X18" s="11">
        <f t="shared" si="3"/>
        <v>1.5278969957081545</v>
      </c>
      <c r="Z18">
        <v>206</v>
      </c>
      <c r="AA18" s="8">
        <v>20.6</v>
      </c>
      <c r="AB18" s="11">
        <f t="shared" si="4"/>
        <v>1.7281553398058251</v>
      </c>
    </row>
    <row r="19" spans="1:28">
      <c r="A19">
        <v>9</v>
      </c>
      <c r="B19">
        <v>100</v>
      </c>
      <c r="C19">
        <v>150</v>
      </c>
      <c r="D19">
        <v>5</v>
      </c>
      <c r="E19">
        <v>350.5</v>
      </c>
      <c r="F19">
        <v>205</v>
      </c>
      <c r="G19">
        <v>47.5</v>
      </c>
      <c r="H19">
        <f t="shared" si="0"/>
        <v>38</v>
      </c>
      <c r="I19" s="8">
        <f>Data!I19</f>
        <v>34.77363012140421</v>
      </c>
      <c r="J19">
        <v>4910</v>
      </c>
      <c r="K19">
        <v>75</v>
      </c>
      <c r="L19">
        <v>0</v>
      </c>
      <c r="M19" s="8">
        <f t="shared" si="1"/>
        <v>49.1</v>
      </c>
      <c r="N19" s="11">
        <f>Data!L19</f>
        <v>1.7988556452559548</v>
      </c>
      <c r="P19">
        <v>293</v>
      </c>
      <c r="Q19" s="11">
        <v>21.975000000000001</v>
      </c>
      <c r="R19">
        <v>251</v>
      </c>
      <c r="S19">
        <v>18.899999999999999</v>
      </c>
      <c r="T19" s="11">
        <f t="shared" si="2"/>
        <v>1.1673306772908367</v>
      </c>
      <c r="V19">
        <v>191</v>
      </c>
      <c r="W19" s="8">
        <v>21.7</v>
      </c>
      <c r="X19" s="11">
        <f t="shared" si="3"/>
        <v>1.5340314136125655</v>
      </c>
      <c r="Z19">
        <v>172</v>
      </c>
      <c r="AA19" s="8">
        <v>23.9</v>
      </c>
      <c r="AB19" s="11">
        <f t="shared" si="4"/>
        <v>1.7034883720930232</v>
      </c>
    </row>
    <row r="20" spans="1:28">
      <c r="A20" s="2" t="s">
        <v>69</v>
      </c>
      <c r="B20">
        <v>100</v>
      </c>
      <c r="C20">
        <v>150</v>
      </c>
      <c r="D20">
        <v>5</v>
      </c>
      <c r="E20">
        <v>324.3</v>
      </c>
      <c r="F20">
        <v>202</v>
      </c>
      <c r="G20">
        <v>51.5</v>
      </c>
      <c r="H20">
        <f t="shared" si="0"/>
        <v>41.2</v>
      </c>
      <c r="I20" s="8">
        <f>Data!I20</f>
        <v>35.482336614757926</v>
      </c>
      <c r="J20">
        <v>2940</v>
      </c>
      <c r="K20">
        <v>0</v>
      </c>
      <c r="L20">
        <v>30</v>
      </c>
      <c r="M20" s="8">
        <f t="shared" si="1"/>
        <v>29.4</v>
      </c>
      <c r="N20" s="11">
        <f>Data!L20</f>
        <v>1.0723837870397315</v>
      </c>
      <c r="P20">
        <v>402</v>
      </c>
      <c r="Q20" s="11">
        <v>12.06</v>
      </c>
      <c r="R20">
        <v>401</v>
      </c>
      <c r="S20">
        <v>12.1</v>
      </c>
      <c r="T20" s="11">
        <f t="shared" si="2"/>
        <v>1.0024937655860349</v>
      </c>
      <c r="V20">
        <v>434</v>
      </c>
      <c r="W20" s="8">
        <v>19.600000000000001</v>
      </c>
      <c r="X20" s="11">
        <f t="shared" si="3"/>
        <v>0.92626728110599077</v>
      </c>
      <c r="Z20">
        <v>367</v>
      </c>
      <c r="AA20" s="8">
        <v>22</v>
      </c>
      <c r="AB20" s="11">
        <f t="shared" si="4"/>
        <v>1.0953678474114441</v>
      </c>
    </row>
    <row r="21" spans="1:28">
      <c r="A21">
        <v>10</v>
      </c>
      <c r="B21">
        <v>100</v>
      </c>
      <c r="C21">
        <v>150</v>
      </c>
      <c r="D21">
        <v>5</v>
      </c>
      <c r="E21">
        <v>368</v>
      </c>
      <c r="F21">
        <v>205</v>
      </c>
      <c r="G21">
        <v>45.7</v>
      </c>
      <c r="H21">
        <f t="shared" si="0"/>
        <v>36.56</v>
      </c>
      <c r="I21" s="8">
        <f>Data!I21</f>
        <v>34.443417464296942</v>
      </c>
      <c r="J21">
        <v>4000</v>
      </c>
      <c r="K21">
        <v>0</v>
      </c>
      <c r="L21">
        <v>30</v>
      </c>
      <c r="M21" s="8">
        <f t="shared" si="1"/>
        <v>40</v>
      </c>
      <c r="N21" s="11">
        <f>Data!L21</f>
        <v>1.4798978783046743</v>
      </c>
      <c r="P21">
        <v>349</v>
      </c>
      <c r="Q21" s="11">
        <v>10.47</v>
      </c>
      <c r="R21">
        <v>278</v>
      </c>
      <c r="S21">
        <v>8.4</v>
      </c>
      <c r="T21" s="11">
        <f t="shared" si="2"/>
        <v>1.2553956834532374</v>
      </c>
      <c r="V21">
        <v>298</v>
      </c>
      <c r="W21" s="8">
        <v>16.2</v>
      </c>
      <c r="X21" s="11">
        <f t="shared" si="3"/>
        <v>1.1711409395973154</v>
      </c>
      <c r="Z21">
        <v>248</v>
      </c>
      <c r="AA21" s="8">
        <v>19.5</v>
      </c>
      <c r="AB21" s="11">
        <f t="shared" si="4"/>
        <v>1.407258064516129</v>
      </c>
    </row>
    <row r="22" spans="1:28">
      <c r="A22">
        <v>11</v>
      </c>
      <c r="B22">
        <v>100</v>
      </c>
      <c r="C22">
        <v>150</v>
      </c>
      <c r="D22">
        <v>5</v>
      </c>
      <c r="E22">
        <v>355.5</v>
      </c>
      <c r="F22">
        <v>205</v>
      </c>
      <c r="G22">
        <v>47.2</v>
      </c>
      <c r="H22">
        <f t="shared" si="0"/>
        <v>37.760000000000005</v>
      </c>
      <c r="I22" s="8">
        <f>Data!I22</f>
        <v>34.719102145097914</v>
      </c>
      <c r="J22">
        <v>4910</v>
      </c>
      <c r="K22">
        <v>0</v>
      </c>
      <c r="L22">
        <v>30</v>
      </c>
      <c r="M22" s="8">
        <f t="shared" si="1"/>
        <v>49.1</v>
      </c>
      <c r="N22" s="11">
        <f>Data!L22</f>
        <v>1.8052134669878932</v>
      </c>
      <c r="P22">
        <v>273</v>
      </c>
      <c r="Q22" s="11">
        <v>8.19</v>
      </c>
      <c r="R22">
        <v>207</v>
      </c>
      <c r="S22">
        <v>6.2</v>
      </c>
      <c r="T22" s="11">
        <f t="shared" si="2"/>
        <v>1.318840579710145</v>
      </c>
      <c r="V22">
        <v>224</v>
      </c>
      <c r="W22" s="8">
        <v>13.1</v>
      </c>
      <c r="X22" s="11">
        <f t="shared" si="3"/>
        <v>1.21875</v>
      </c>
      <c r="Z22">
        <v>184</v>
      </c>
      <c r="AA22" s="8">
        <v>16.7</v>
      </c>
      <c r="AB22" s="11">
        <f t="shared" si="4"/>
        <v>1.4836956521739131</v>
      </c>
    </row>
    <row r="23" spans="1:28">
      <c r="S23" s="5" t="s">
        <v>129</v>
      </c>
      <c r="T23" s="12">
        <f>AVERAGE(T8:T22)</f>
        <v>1.0728313310391897</v>
      </c>
      <c r="W23" s="17" t="s">
        <v>130</v>
      </c>
      <c r="X23" s="12">
        <f>AVERAGE(X8:X22)</f>
        <v>1.3499237922215566</v>
      </c>
      <c r="AA23" s="17" t="s">
        <v>130</v>
      </c>
      <c r="AB23" s="12">
        <f>AVERAGE(AB8:AB22)</f>
        <v>1.5725408712199527</v>
      </c>
    </row>
    <row r="24" spans="1:28">
      <c r="A24" s="20" t="str">
        <f>Data!A24</f>
        <v>Wei &amp; Han</v>
      </c>
      <c r="B24" s="20">
        <f>Data!B24</f>
        <v>2000</v>
      </c>
      <c r="C24" s="21" t="s">
        <v>71</v>
      </c>
      <c r="I24" s="20" t="s">
        <v>65</v>
      </c>
      <c r="S24" t="s">
        <v>131</v>
      </c>
      <c r="T24" s="9">
        <f>STDEV(T8:T22)</f>
        <v>0.14009983048653196</v>
      </c>
      <c r="W24" s="8" t="s">
        <v>132</v>
      </c>
      <c r="X24" s="9">
        <f>STDEV(X8:X22)</f>
        <v>0.27446422500348316</v>
      </c>
      <c r="AA24" s="8" t="s">
        <v>132</v>
      </c>
      <c r="AB24" s="9">
        <f>STDEV(AB8:AB22)</f>
        <v>0.34439415526241829</v>
      </c>
    </row>
    <row r="25" spans="1:28">
      <c r="A25" t="str">
        <f>Data!A25</f>
        <v>Scp1-1</v>
      </c>
      <c r="B25">
        <f>Data!B25</f>
        <v>120</v>
      </c>
      <c r="C25">
        <f>Data!C25</f>
        <v>120</v>
      </c>
      <c r="D25">
        <f>Data!D25</f>
        <v>3.84</v>
      </c>
      <c r="E25">
        <f>Data!E25</f>
        <v>330.1</v>
      </c>
      <c r="F25">
        <f>Data!F25</f>
        <v>200</v>
      </c>
      <c r="G25">
        <f>Data!G25</f>
        <v>18.93</v>
      </c>
      <c r="H25" s="11">
        <f>Data!H25</f>
        <v>15.144</v>
      </c>
      <c r="I25" s="8">
        <f>Data!I25</f>
        <v>28.297899966421152</v>
      </c>
      <c r="J25">
        <f>Data!J25</f>
        <v>2600</v>
      </c>
      <c r="K25">
        <f>Data!Y25</f>
        <v>0</v>
      </c>
      <c r="L25">
        <f>Data!Z25</f>
        <v>15</v>
      </c>
      <c r="M25" s="11">
        <f>Data!K25</f>
        <v>21.666666666666668</v>
      </c>
      <c r="N25" s="11">
        <f>Data!L25</f>
        <v>0.72071364160606832</v>
      </c>
      <c r="P25">
        <f>Data!O25</f>
        <v>588</v>
      </c>
      <c r="Q25" s="11">
        <f>Data!Q25</f>
        <v>8.82</v>
      </c>
      <c r="R25" s="10">
        <f>Data!U25</f>
        <v>471</v>
      </c>
      <c r="S25">
        <v>7.1</v>
      </c>
      <c r="T25" s="11">
        <f t="shared" ref="T25:T45" si="5">P25/R25</f>
        <v>1.2484076433121019</v>
      </c>
      <c r="V25">
        <v>477</v>
      </c>
      <c r="W25" s="8">
        <v>11.2</v>
      </c>
      <c r="X25" s="11">
        <f t="shared" ref="X25:X45" si="6">P25/V25</f>
        <v>1.2327044025157232</v>
      </c>
      <c r="Z25">
        <v>408</v>
      </c>
      <c r="AA25" s="8">
        <v>15</v>
      </c>
      <c r="AB25" s="11">
        <f t="shared" si="4"/>
        <v>1.4411764705882353</v>
      </c>
    </row>
    <row r="26" spans="1:28">
      <c r="A26" t="str">
        <f>Data!A26</f>
        <v>Scp1-2</v>
      </c>
      <c r="B26">
        <f>Data!B26</f>
        <v>120</v>
      </c>
      <c r="C26">
        <f>Data!C26</f>
        <v>120</v>
      </c>
      <c r="D26">
        <f>Data!D26</f>
        <v>3.84</v>
      </c>
      <c r="E26">
        <f>Data!E26</f>
        <v>330.1</v>
      </c>
      <c r="F26">
        <f>Data!F26</f>
        <v>200</v>
      </c>
      <c r="G26">
        <f>Data!G26</f>
        <v>18.93</v>
      </c>
      <c r="H26" s="11">
        <f>Data!H26</f>
        <v>15.144</v>
      </c>
      <c r="I26" s="8">
        <f>Data!I26</f>
        <v>28.297899966421152</v>
      </c>
      <c r="J26">
        <f>Data!J26</f>
        <v>2600</v>
      </c>
      <c r="K26">
        <f>Data!Y26</f>
        <v>0</v>
      </c>
      <c r="L26">
        <f>Data!Z26</f>
        <v>30</v>
      </c>
      <c r="M26" s="11">
        <f>Data!K26</f>
        <v>21.666666666666668</v>
      </c>
      <c r="N26" s="11">
        <f>Data!L26</f>
        <v>0.72071364160606832</v>
      </c>
      <c r="P26">
        <f>Data!O26</f>
        <v>450.8</v>
      </c>
      <c r="Q26" s="11">
        <f>Data!Q26</f>
        <v>13.523999999999999</v>
      </c>
      <c r="R26" s="10">
        <f>Data!U26</f>
        <v>375</v>
      </c>
      <c r="S26">
        <v>11.3</v>
      </c>
      <c r="T26" s="11">
        <f t="shared" si="5"/>
        <v>1.2021333333333333</v>
      </c>
      <c r="V26">
        <v>381</v>
      </c>
      <c r="W26" s="8">
        <v>16.3</v>
      </c>
      <c r="X26" s="11">
        <f t="shared" si="6"/>
        <v>1.1832020997375328</v>
      </c>
      <c r="Z26">
        <v>334</v>
      </c>
      <c r="AA26" s="8">
        <v>18.5</v>
      </c>
      <c r="AB26" s="11">
        <f t="shared" si="4"/>
        <v>1.3497005988023953</v>
      </c>
    </row>
    <row r="27" spans="1:28">
      <c r="A27" t="str">
        <f>Data!A27</f>
        <v>Scp1-3</v>
      </c>
      <c r="B27">
        <f>Data!B27</f>
        <v>120</v>
      </c>
      <c r="C27">
        <f>Data!C27</f>
        <v>120</v>
      </c>
      <c r="D27">
        <f>Data!D27</f>
        <v>3.84</v>
      </c>
      <c r="E27">
        <f>Data!E27</f>
        <v>330.1</v>
      </c>
      <c r="F27">
        <f>Data!F27</f>
        <v>200</v>
      </c>
      <c r="G27">
        <f>Data!G27</f>
        <v>25.46</v>
      </c>
      <c r="H27" s="11">
        <f>Data!H27</f>
        <v>20.368000000000002</v>
      </c>
      <c r="I27" s="8">
        <f>Data!I27</f>
        <v>30.079547334840854</v>
      </c>
      <c r="J27">
        <f>Data!J27</f>
        <v>2600</v>
      </c>
      <c r="K27">
        <f>Data!Y27</f>
        <v>0</v>
      </c>
      <c r="L27">
        <f>Data!Z27</f>
        <v>40</v>
      </c>
      <c r="M27" s="11">
        <f>Data!K27</f>
        <v>21.666666666666668</v>
      </c>
      <c r="N27" s="11">
        <f>Data!L27</f>
        <v>0.74542312655146625</v>
      </c>
      <c r="P27">
        <f>Data!O27</f>
        <v>421.4</v>
      </c>
      <c r="Q27" s="11">
        <f>Data!Q27</f>
        <v>16.856000000000002</v>
      </c>
      <c r="R27" s="10">
        <f>Data!U27</f>
        <v>344</v>
      </c>
      <c r="S27">
        <v>13.8</v>
      </c>
      <c r="T27" s="11">
        <f t="shared" si="5"/>
        <v>1.2249999999999999</v>
      </c>
      <c r="V27">
        <v>351</v>
      </c>
      <c r="W27" s="8">
        <v>19.600000000000001</v>
      </c>
      <c r="X27" s="11">
        <f t="shared" si="6"/>
        <v>1.2005698005698004</v>
      </c>
      <c r="Z27">
        <v>309</v>
      </c>
      <c r="AA27" s="8">
        <v>21</v>
      </c>
      <c r="AB27" s="11">
        <f t="shared" si="4"/>
        <v>1.3637540453074433</v>
      </c>
    </row>
    <row r="28" spans="1:28">
      <c r="A28" t="str">
        <f>Data!A28</f>
        <v>Scp1-4</v>
      </c>
      <c r="B28">
        <f>Data!B28</f>
        <v>120</v>
      </c>
      <c r="C28">
        <f>Data!C28</f>
        <v>120</v>
      </c>
      <c r="D28">
        <f>Data!D28</f>
        <v>3.84</v>
      </c>
      <c r="E28">
        <f>Data!E28</f>
        <v>330.1</v>
      </c>
      <c r="F28">
        <f>Data!F28</f>
        <v>200</v>
      </c>
      <c r="G28">
        <f>Data!G28</f>
        <v>18.93</v>
      </c>
      <c r="H28" s="11">
        <f>Data!H28</f>
        <v>15.144</v>
      </c>
      <c r="I28" s="8">
        <f>Data!I28</f>
        <v>28.297899966421152</v>
      </c>
      <c r="J28">
        <f>Data!J28</f>
        <v>2600</v>
      </c>
      <c r="K28">
        <f>Data!Y28</f>
        <v>0</v>
      </c>
      <c r="L28">
        <f>Data!Z28</f>
        <v>50</v>
      </c>
      <c r="M28" s="11">
        <f>Data!K28</f>
        <v>21.666666666666668</v>
      </c>
      <c r="N28" s="11">
        <f>Data!L28</f>
        <v>0.72071364160606832</v>
      </c>
      <c r="P28">
        <f>Data!O28</f>
        <v>333.2</v>
      </c>
      <c r="Q28" s="11">
        <f>Data!Q28</f>
        <v>16.66</v>
      </c>
      <c r="R28" s="10">
        <f>Data!U28</f>
        <v>302</v>
      </c>
      <c r="S28">
        <v>15.1</v>
      </c>
      <c r="T28" s="11">
        <f t="shared" si="5"/>
        <v>1.1033112582781457</v>
      </c>
      <c r="V28">
        <v>300</v>
      </c>
      <c r="W28" s="8">
        <v>19.8</v>
      </c>
      <c r="X28" s="11">
        <f t="shared" si="6"/>
        <v>1.1106666666666667</v>
      </c>
      <c r="Z28">
        <v>270</v>
      </c>
      <c r="AA28" s="8">
        <v>20.8</v>
      </c>
      <c r="AB28" s="11">
        <f t="shared" si="4"/>
        <v>1.2340740740740741</v>
      </c>
    </row>
    <row r="29" spans="1:28">
      <c r="A29" t="str">
        <f>Data!A29</f>
        <v>Scp1-5</v>
      </c>
      <c r="B29">
        <f>Data!B29</f>
        <v>120</v>
      </c>
      <c r="C29">
        <f>Data!C29</f>
        <v>120</v>
      </c>
      <c r="D29">
        <f>Data!D29</f>
        <v>3.84</v>
      </c>
      <c r="E29">
        <f>Data!E29</f>
        <v>330.1</v>
      </c>
      <c r="F29">
        <f>Data!F29</f>
        <v>200</v>
      </c>
      <c r="G29">
        <f>Data!G29</f>
        <v>25.46</v>
      </c>
      <c r="H29" s="11">
        <f>Data!H29</f>
        <v>20.368000000000002</v>
      </c>
      <c r="I29" s="8">
        <f>Data!I29</f>
        <v>30.079547334840854</v>
      </c>
      <c r="J29">
        <f>Data!J29</f>
        <v>2600</v>
      </c>
      <c r="K29">
        <f>Data!Y29</f>
        <v>0</v>
      </c>
      <c r="L29">
        <f>Data!Z29</f>
        <v>40</v>
      </c>
      <c r="M29" s="11">
        <f>Data!K29</f>
        <v>21.666666666666668</v>
      </c>
      <c r="N29" s="11">
        <f>Data!L29</f>
        <v>0.74542312655146625</v>
      </c>
      <c r="P29">
        <f>Data!O29</f>
        <v>417.5</v>
      </c>
      <c r="Q29" s="11">
        <f>Data!Q29</f>
        <v>16.7</v>
      </c>
      <c r="R29" s="10">
        <f>Data!U29</f>
        <v>345</v>
      </c>
      <c r="S29">
        <v>13.8</v>
      </c>
      <c r="T29" s="11">
        <f t="shared" si="5"/>
        <v>1.2101449275362319</v>
      </c>
      <c r="V29">
        <v>351</v>
      </c>
      <c r="W29" s="8">
        <v>19.600000000000001</v>
      </c>
      <c r="X29" s="11">
        <f t="shared" si="6"/>
        <v>1.1894586894586894</v>
      </c>
      <c r="Z29">
        <v>310</v>
      </c>
      <c r="AA29" s="8">
        <v>21</v>
      </c>
      <c r="AB29" s="11">
        <f t="shared" si="4"/>
        <v>1.346774193548387</v>
      </c>
    </row>
    <row r="30" spans="1:28">
      <c r="A30" t="str">
        <f>Data!A30</f>
        <v>Scp1-6</v>
      </c>
      <c r="B30">
        <f>Data!B30</f>
        <v>120</v>
      </c>
      <c r="C30">
        <f>Data!C30</f>
        <v>120</v>
      </c>
      <c r="D30">
        <f>Data!D30</f>
        <v>3.84</v>
      </c>
      <c r="E30">
        <f>Data!E30</f>
        <v>330.1</v>
      </c>
      <c r="F30">
        <f>Data!F30</f>
        <v>200</v>
      </c>
      <c r="G30">
        <f>Data!G30</f>
        <v>36.6</v>
      </c>
      <c r="H30" s="11">
        <f>Data!H30</f>
        <v>29.28</v>
      </c>
      <c r="I30" s="8">
        <f>Data!I30</f>
        <v>32.648666819415283</v>
      </c>
      <c r="J30">
        <f>Data!J30</f>
        <v>2600</v>
      </c>
      <c r="K30">
        <f>Data!Y30</f>
        <v>0</v>
      </c>
      <c r="L30">
        <f>Data!Z30</f>
        <v>50</v>
      </c>
      <c r="M30" s="11">
        <f>Data!K30</f>
        <v>21.666666666666668</v>
      </c>
      <c r="N30" s="11">
        <f>Data!L30</f>
        <v>0.78574944277152647</v>
      </c>
      <c r="P30">
        <f>Data!O30</f>
        <v>423.4</v>
      </c>
      <c r="Q30" s="11">
        <f>Data!Q30</f>
        <v>21.17</v>
      </c>
      <c r="R30" s="10">
        <f>Data!U30</f>
        <v>324</v>
      </c>
      <c r="S30">
        <v>16.3</v>
      </c>
      <c r="T30" s="11">
        <f t="shared" si="5"/>
        <v>1.30679012345679</v>
      </c>
      <c r="V30">
        <v>326</v>
      </c>
      <c r="W30" s="8">
        <v>22.7</v>
      </c>
      <c r="X30" s="11">
        <f t="shared" si="6"/>
        <v>1.2987730061349692</v>
      </c>
      <c r="Z30">
        <v>289</v>
      </c>
      <c r="AA30" s="8">
        <v>23.6</v>
      </c>
      <c r="AB30" s="11">
        <f t="shared" si="4"/>
        <v>1.4650519031141869</v>
      </c>
    </row>
    <row r="31" spans="1:28">
      <c r="A31" t="str">
        <f>Data!A31</f>
        <v>Scp2-1</v>
      </c>
      <c r="B31">
        <f>Data!B31</f>
        <v>140</v>
      </c>
      <c r="C31">
        <f>Data!C31</f>
        <v>140</v>
      </c>
      <c r="D31">
        <f>Data!D31</f>
        <v>3.84</v>
      </c>
      <c r="E31">
        <f>Data!E31</f>
        <v>330.1</v>
      </c>
      <c r="F31">
        <f>Data!F31</f>
        <v>200</v>
      </c>
      <c r="G31">
        <f>Data!G31</f>
        <v>23.55</v>
      </c>
      <c r="H31" s="11">
        <f>Data!H31</f>
        <v>18.84</v>
      </c>
      <c r="I31" s="8">
        <f>Data!I31</f>
        <v>29.584036815724541</v>
      </c>
      <c r="J31">
        <f>Data!J31</f>
        <v>2600</v>
      </c>
      <c r="K31">
        <f>Data!Y31</f>
        <v>0</v>
      </c>
      <c r="L31">
        <f>Data!Z31</f>
        <v>15</v>
      </c>
      <c r="M31" s="11">
        <f>Data!K31</f>
        <v>18.571428571428573</v>
      </c>
      <c r="N31" s="11">
        <f>Data!L31</f>
        <v>0.63246292180432362</v>
      </c>
      <c r="P31">
        <f>Data!O31</f>
        <v>833</v>
      </c>
      <c r="Q31" s="11">
        <f>Data!Q31</f>
        <v>12.494999999999999</v>
      </c>
      <c r="R31" s="10">
        <f>Data!U31</f>
        <v>664</v>
      </c>
      <c r="S31">
        <v>10.8</v>
      </c>
      <c r="T31" s="11">
        <f t="shared" si="5"/>
        <v>1.2545180722891567</v>
      </c>
      <c r="V31">
        <v>682</v>
      </c>
      <c r="W31" s="8">
        <v>15</v>
      </c>
      <c r="X31" s="11">
        <f t="shared" si="6"/>
        <v>1.2214076246334311</v>
      </c>
      <c r="Z31">
        <v>594</v>
      </c>
      <c r="AA31" s="8">
        <v>20.7</v>
      </c>
      <c r="AB31" s="11">
        <f t="shared" si="4"/>
        <v>1.4023569023569022</v>
      </c>
    </row>
    <row r="32" spans="1:28">
      <c r="A32" t="str">
        <f>Data!A32</f>
        <v>Scp2-2</v>
      </c>
      <c r="B32">
        <f>Data!B32</f>
        <v>140</v>
      </c>
      <c r="C32">
        <f>Data!C32</f>
        <v>140</v>
      </c>
      <c r="D32">
        <f>Data!D32</f>
        <v>3.84</v>
      </c>
      <c r="E32">
        <f>Data!E32</f>
        <v>330.1</v>
      </c>
      <c r="F32">
        <f>Data!F32</f>
        <v>200</v>
      </c>
      <c r="G32">
        <f>Data!G32</f>
        <v>23.55</v>
      </c>
      <c r="H32" s="11">
        <f>Data!H32</f>
        <v>18.84</v>
      </c>
      <c r="I32" s="8">
        <f>Data!I32</f>
        <v>29.584036815724541</v>
      </c>
      <c r="J32">
        <f>Data!J32</f>
        <v>2600</v>
      </c>
      <c r="K32">
        <f>Data!Y32</f>
        <v>0</v>
      </c>
      <c r="L32">
        <f>Data!Z32</f>
        <v>40</v>
      </c>
      <c r="M32" s="11">
        <f>Data!K32</f>
        <v>18.571428571428573</v>
      </c>
      <c r="N32" s="11">
        <f>Data!L32</f>
        <v>0.63246292180432362</v>
      </c>
      <c r="P32">
        <f>Data!O32</f>
        <v>615.4</v>
      </c>
      <c r="Q32" s="11">
        <f>Data!Q32</f>
        <v>24.616</v>
      </c>
      <c r="R32" s="10">
        <f>Data!U32</f>
        <v>485</v>
      </c>
      <c r="S32">
        <v>19.399999999999999</v>
      </c>
      <c r="T32" s="11">
        <f t="shared" si="5"/>
        <v>1.2688659793814432</v>
      </c>
      <c r="V32">
        <v>488</v>
      </c>
      <c r="W32" s="8">
        <v>26.4</v>
      </c>
      <c r="X32" s="11">
        <f t="shared" si="6"/>
        <v>1.2610655737704917</v>
      </c>
      <c r="Z32">
        <v>436</v>
      </c>
      <c r="AA32" s="8">
        <v>28.6</v>
      </c>
      <c r="AB32" s="11">
        <f t="shared" si="4"/>
        <v>1.4114678899082569</v>
      </c>
    </row>
    <row r="33" spans="1:28">
      <c r="A33" t="str">
        <f>Data!A33</f>
        <v>Scp2-3</v>
      </c>
      <c r="B33">
        <f>Data!B33</f>
        <v>140</v>
      </c>
      <c r="C33">
        <f>Data!C33</f>
        <v>140</v>
      </c>
      <c r="D33">
        <f>Data!D33</f>
        <v>3.84</v>
      </c>
      <c r="E33">
        <f>Data!E33</f>
        <v>330.1</v>
      </c>
      <c r="F33">
        <f>Data!F33</f>
        <v>200</v>
      </c>
      <c r="G33">
        <f>Data!G33</f>
        <v>23.55</v>
      </c>
      <c r="H33" s="11">
        <f>Data!H33</f>
        <v>18.84</v>
      </c>
      <c r="I33" s="8">
        <f>Data!I33</f>
        <v>29.584036815724541</v>
      </c>
      <c r="J33">
        <f>Data!J33</f>
        <v>2600</v>
      </c>
      <c r="K33">
        <f>Data!Y33</f>
        <v>0</v>
      </c>
      <c r="L33">
        <f>Data!Z33</f>
        <v>60</v>
      </c>
      <c r="M33" s="11">
        <f>Data!K33</f>
        <v>18.571428571428573</v>
      </c>
      <c r="N33" s="11">
        <f>Data!L33</f>
        <v>0.63246292180432362</v>
      </c>
      <c r="P33">
        <f>Data!O33</f>
        <v>509.6</v>
      </c>
      <c r="Q33" s="11">
        <f>Data!Q33</f>
        <v>30.576000000000001</v>
      </c>
      <c r="R33" s="10">
        <f>Data!U33</f>
        <v>388</v>
      </c>
      <c r="S33">
        <v>23.3</v>
      </c>
      <c r="T33" s="11">
        <f t="shared" si="5"/>
        <v>1.3134020618556701</v>
      </c>
      <c r="V33">
        <v>392</v>
      </c>
      <c r="W33" s="8">
        <v>30.3</v>
      </c>
      <c r="X33" s="11">
        <f t="shared" si="6"/>
        <v>1.3</v>
      </c>
      <c r="Z33">
        <v>356</v>
      </c>
      <c r="AA33" s="8">
        <v>31.5</v>
      </c>
      <c r="AB33" s="11">
        <f t="shared" si="4"/>
        <v>1.4314606741573035</v>
      </c>
    </row>
    <row r="34" spans="1:28">
      <c r="A34" t="str">
        <f>Data!A34</f>
        <v>Scp2-4</v>
      </c>
      <c r="B34">
        <f>Data!B34</f>
        <v>140</v>
      </c>
      <c r="C34">
        <f>Data!C34</f>
        <v>140</v>
      </c>
      <c r="D34">
        <f>Data!D34</f>
        <v>3.84</v>
      </c>
      <c r="E34">
        <f>Data!E34</f>
        <v>330.1</v>
      </c>
      <c r="F34">
        <f>Data!F34</f>
        <v>200</v>
      </c>
      <c r="G34">
        <f>Data!G34</f>
        <v>25.46</v>
      </c>
      <c r="H34" s="11">
        <f>Data!H34</f>
        <v>20.368000000000002</v>
      </c>
      <c r="I34" s="8">
        <f>Data!I34</f>
        <v>30.079547334840854</v>
      </c>
      <c r="J34">
        <f>Data!J34</f>
        <v>2600</v>
      </c>
      <c r="K34">
        <f>Data!Y34</f>
        <v>0</v>
      </c>
      <c r="L34">
        <f>Data!Z34</f>
        <v>40</v>
      </c>
      <c r="M34" s="11">
        <f>Data!K34</f>
        <v>18.571428571428573</v>
      </c>
      <c r="N34" s="11">
        <f>Data!L34</f>
        <v>0.6393133904560957</v>
      </c>
      <c r="P34">
        <f>Data!O34</f>
        <v>558.6</v>
      </c>
      <c r="Q34" s="11">
        <f>Data!Q34</f>
        <v>22.344000000000001</v>
      </c>
      <c r="R34" s="10">
        <f>Data!U34</f>
        <v>494</v>
      </c>
      <c r="S34">
        <v>19.8</v>
      </c>
      <c r="T34" s="11">
        <f t="shared" si="5"/>
        <v>1.1307692307692307</v>
      </c>
      <c r="V34">
        <v>505</v>
      </c>
      <c r="W34" s="8">
        <v>26.5</v>
      </c>
      <c r="X34" s="11">
        <f t="shared" si="6"/>
        <v>1.1061386138613862</v>
      </c>
      <c r="Z34">
        <v>452</v>
      </c>
      <c r="AA34" s="8">
        <v>28.7</v>
      </c>
      <c r="AB34" s="11">
        <f t="shared" si="4"/>
        <v>1.2358407079646019</v>
      </c>
    </row>
    <row r="35" spans="1:28">
      <c r="A35" t="str">
        <f>Data!A35</f>
        <v>Scp2-5</v>
      </c>
      <c r="B35">
        <f>Data!B35</f>
        <v>140</v>
      </c>
      <c r="C35">
        <f>Data!C35</f>
        <v>140</v>
      </c>
      <c r="D35">
        <f>Data!D35</f>
        <v>3.84</v>
      </c>
      <c r="E35">
        <f>Data!E35</f>
        <v>330.1</v>
      </c>
      <c r="F35">
        <f>Data!F35</f>
        <v>200</v>
      </c>
      <c r="G35">
        <f>Data!G35</f>
        <v>36.6</v>
      </c>
      <c r="H35" s="11">
        <f>Data!H35</f>
        <v>29.28</v>
      </c>
      <c r="I35" s="8">
        <f>Data!I35</f>
        <v>32.648666819415283</v>
      </c>
      <c r="J35">
        <f>Data!J35</f>
        <v>2600</v>
      </c>
      <c r="K35">
        <f>Data!Y35</f>
        <v>0</v>
      </c>
      <c r="L35">
        <f>Data!Z35</f>
        <v>60</v>
      </c>
      <c r="M35" s="11">
        <f>Data!K35</f>
        <v>18.571428571428573</v>
      </c>
      <c r="N35" s="11">
        <f>Data!L35</f>
        <v>0.67773573972872381</v>
      </c>
      <c r="P35">
        <f>Data!O35</f>
        <v>539</v>
      </c>
      <c r="Q35" s="11">
        <f>Data!Q35</f>
        <v>32.340000000000003</v>
      </c>
      <c r="R35" s="10">
        <f>Data!U35</f>
        <v>426</v>
      </c>
      <c r="S35">
        <v>25.6</v>
      </c>
      <c r="T35" s="11">
        <f t="shared" si="5"/>
        <v>1.2652582159624413</v>
      </c>
      <c r="V35">
        <v>432</v>
      </c>
      <c r="W35" s="8">
        <v>33.6</v>
      </c>
      <c r="X35" s="11">
        <f t="shared" si="6"/>
        <v>1.2476851851851851</v>
      </c>
      <c r="Z35">
        <v>389</v>
      </c>
      <c r="AA35" s="8">
        <v>34.700000000000003</v>
      </c>
      <c r="AB35" s="11">
        <f t="shared" si="4"/>
        <v>1.3856041131105399</v>
      </c>
    </row>
    <row r="36" spans="1:28">
      <c r="A36" t="str">
        <f>Data!A36</f>
        <v>Scp3-1</v>
      </c>
      <c r="B36">
        <f>Data!B36</f>
        <v>120</v>
      </c>
      <c r="C36">
        <f>Data!C36</f>
        <v>120</v>
      </c>
      <c r="D36">
        <f>Data!D36</f>
        <v>5.86</v>
      </c>
      <c r="E36">
        <f>Data!E36</f>
        <v>321.10000000000002</v>
      </c>
      <c r="F36">
        <f>Data!F36</f>
        <v>200</v>
      </c>
      <c r="G36">
        <f>Data!G36</f>
        <v>23.55</v>
      </c>
      <c r="H36" s="11">
        <f>Data!H36</f>
        <v>18.84</v>
      </c>
      <c r="I36" s="8">
        <f>Data!I36</f>
        <v>29.584036815724541</v>
      </c>
      <c r="J36">
        <f>Data!J36</f>
        <v>2600</v>
      </c>
      <c r="K36">
        <f>Data!Y36</f>
        <v>0</v>
      </c>
      <c r="L36">
        <f>Data!Z36</f>
        <v>15</v>
      </c>
      <c r="M36" s="11">
        <f>Data!K36</f>
        <v>21.666666666666668</v>
      </c>
      <c r="N36" s="11">
        <f>Data!L36</f>
        <v>0.73527098208703945</v>
      </c>
      <c r="P36">
        <f>Data!O36</f>
        <v>754.6</v>
      </c>
      <c r="Q36" s="11">
        <f>Data!Q36</f>
        <v>11.319000000000001</v>
      </c>
      <c r="R36" s="10">
        <f>Data!U36</f>
        <v>627</v>
      </c>
      <c r="S36">
        <v>10.4</v>
      </c>
      <c r="T36" s="11">
        <f t="shared" si="5"/>
        <v>1.2035087719298245</v>
      </c>
      <c r="V36">
        <v>651</v>
      </c>
      <c r="W36" s="8">
        <v>15.4</v>
      </c>
      <c r="X36" s="11">
        <f t="shared" si="6"/>
        <v>1.1591397849462366</v>
      </c>
      <c r="Z36">
        <v>563</v>
      </c>
      <c r="AA36" s="8">
        <v>20.399999999999999</v>
      </c>
      <c r="AB36" s="11">
        <f t="shared" si="4"/>
        <v>1.3403197158081706</v>
      </c>
    </row>
    <row r="37" spans="1:28">
      <c r="A37" t="str">
        <f>Data!A37</f>
        <v>Scp3-2</v>
      </c>
      <c r="B37">
        <f>Data!B37</f>
        <v>120</v>
      </c>
      <c r="C37">
        <f>Data!C37</f>
        <v>120</v>
      </c>
      <c r="D37">
        <f>Data!D37</f>
        <v>5.86</v>
      </c>
      <c r="E37">
        <f>Data!E37</f>
        <v>321.10000000000002</v>
      </c>
      <c r="F37">
        <f>Data!F37</f>
        <v>200</v>
      </c>
      <c r="G37">
        <f>Data!G37</f>
        <v>23.55</v>
      </c>
      <c r="H37" s="11">
        <f>Data!H37</f>
        <v>18.84</v>
      </c>
      <c r="I37" s="8">
        <f>Data!I37</f>
        <v>29.584036815724541</v>
      </c>
      <c r="J37">
        <f>Data!J37</f>
        <v>2600</v>
      </c>
      <c r="K37">
        <f>Data!Y37</f>
        <v>0</v>
      </c>
      <c r="L37">
        <f>Data!Z37</f>
        <v>30</v>
      </c>
      <c r="M37" s="11">
        <f>Data!K37</f>
        <v>21.666666666666668</v>
      </c>
      <c r="N37" s="11">
        <f>Data!L37</f>
        <v>0.73527098208703945</v>
      </c>
      <c r="P37">
        <f>Data!O37</f>
        <v>548.79999999999995</v>
      </c>
      <c r="Q37" s="11">
        <f>Data!Q37</f>
        <v>16.463999999999999</v>
      </c>
      <c r="R37" s="10">
        <f>Data!U37</f>
        <v>513</v>
      </c>
      <c r="S37">
        <v>15.4</v>
      </c>
      <c r="T37" s="11">
        <f t="shared" si="5"/>
        <v>1.0697855750487328</v>
      </c>
      <c r="V37">
        <v>530</v>
      </c>
      <c r="W37" s="8">
        <v>22.1</v>
      </c>
      <c r="X37" s="11">
        <f t="shared" si="6"/>
        <v>1.0354716981132075</v>
      </c>
      <c r="Z37">
        <v>467</v>
      </c>
      <c r="AA37" s="8">
        <v>25.1</v>
      </c>
      <c r="AB37" s="11">
        <f t="shared" si="4"/>
        <v>1.1751605995717345</v>
      </c>
    </row>
    <row r="38" spans="1:28">
      <c r="A38" t="str">
        <f>Data!A38</f>
        <v>Scp3-3</v>
      </c>
      <c r="B38">
        <f>Data!B38</f>
        <v>120</v>
      </c>
      <c r="C38">
        <f>Data!C38</f>
        <v>120</v>
      </c>
      <c r="D38">
        <f>Data!D38</f>
        <v>5.86</v>
      </c>
      <c r="E38">
        <f>Data!E38</f>
        <v>321.10000000000002</v>
      </c>
      <c r="F38">
        <f>Data!F38</f>
        <v>200</v>
      </c>
      <c r="G38">
        <f>Data!G38</f>
        <v>23.55</v>
      </c>
      <c r="H38" s="11">
        <f>Data!H38</f>
        <v>18.84</v>
      </c>
      <c r="I38" s="8">
        <f>Data!I38</f>
        <v>29.584036815724541</v>
      </c>
      <c r="J38">
        <f>Data!J38</f>
        <v>2600</v>
      </c>
      <c r="K38">
        <f>Data!Y38</f>
        <v>0</v>
      </c>
      <c r="L38">
        <f>Data!Z38</f>
        <v>50</v>
      </c>
      <c r="M38" s="11">
        <f>Data!K38</f>
        <v>21.666666666666668</v>
      </c>
      <c r="N38" s="11">
        <f>Data!L38</f>
        <v>0.73527098208703945</v>
      </c>
      <c r="P38">
        <f>Data!O38</f>
        <v>510.6</v>
      </c>
      <c r="Q38" s="11">
        <f>Data!Q38</f>
        <v>25.53</v>
      </c>
      <c r="R38" s="10">
        <f>Data!U38</f>
        <v>401</v>
      </c>
      <c r="S38">
        <v>20.2</v>
      </c>
      <c r="T38" s="11">
        <f t="shared" si="5"/>
        <v>1.2733167082294266</v>
      </c>
      <c r="V38">
        <v>405</v>
      </c>
      <c r="W38" s="8">
        <v>27.6</v>
      </c>
      <c r="X38" s="11">
        <f t="shared" si="6"/>
        <v>1.2607407407407407</v>
      </c>
      <c r="Z38">
        <v>364</v>
      </c>
      <c r="AA38" s="8">
        <v>29.1</v>
      </c>
      <c r="AB38" s="11">
        <f t="shared" si="4"/>
        <v>1.4027472527472529</v>
      </c>
    </row>
    <row r="39" spans="1:28">
      <c r="A39" t="str">
        <f>Data!A39</f>
        <v>Scp4-1</v>
      </c>
      <c r="B39">
        <f>Data!B39</f>
        <v>140</v>
      </c>
      <c r="C39">
        <f>Data!C39</f>
        <v>140</v>
      </c>
      <c r="D39">
        <f>Data!D39</f>
        <v>5.86</v>
      </c>
      <c r="E39">
        <f>Data!E39</f>
        <v>321.10000000000002</v>
      </c>
      <c r="F39">
        <f>Data!F39</f>
        <v>200</v>
      </c>
      <c r="G39">
        <f>Data!G39</f>
        <v>19.22</v>
      </c>
      <c r="H39" s="11">
        <f>Data!H39</f>
        <v>15.375999999999999</v>
      </c>
      <c r="I39" s="8">
        <f>Data!I39</f>
        <v>28.382702194983771</v>
      </c>
      <c r="J39">
        <f>Data!J39</f>
        <v>2600</v>
      </c>
      <c r="K39">
        <f>Data!Y39</f>
        <v>0</v>
      </c>
      <c r="L39">
        <f>Data!Z39</f>
        <v>15</v>
      </c>
      <c r="M39" s="11">
        <f>Data!K39</f>
        <v>18.571428571428573</v>
      </c>
      <c r="N39" s="11">
        <f>Data!L39</f>
        <v>0.61672441532571176</v>
      </c>
      <c r="P39">
        <f>Data!O39</f>
        <v>1014.3</v>
      </c>
      <c r="Q39" s="11">
        <f>Data!Q39</f>
        <v>15.214499999999999</v>
      </c>
      <c r="R39" s="10">
        <f>Data!U39</f>
        <v>845</v>
      </c>
      <c r="S39">
        <v>12.8</v>
      </c>
      <c r="T39" s="11">
        <f t="shared" si="5"/>
        <v>1.2003550295857988</v>
      </c>
      <c r="V39">
        <v>845</v>
      </c>
      <c r="W39" s="8">
        <v>18.899999999999999</v>
      </c>
      <c r="X39" s="11">
        <f t="shared" si="6"/>
        <v>1.2003550295857988</v>
      </c>
      <c r="Z39">
        <v>740</v>
      </c>
      <c r="AA39" s="8">
        <v>25.8</v>
      </c>
      <c r="AB39" s="11">
        <f t="shared" si="4"/>
        <v>1.3706756756756757</v>
      </c>
    </row>
    <row r="40" spans="1:28">
      <c r="A40" t="str">
        <f>Data!A40</f>
        <v>Scp4-2</v>
      </c>
      <c r="B40">
        <f>Data!B40</f>
        <v>140</v>
      </c>
      <c r="C40">
        <f>Data!C40</f>
        <v>140</v>
      </c>
      <c r="D40">
        <f>Data!D40</f>
        <v>5.86</v>
      </c>
      <c r="E40">
        <f>Data!E40</f>
        <v>321.10000000000002</v>
      </c>
      <c r="F40">
        <f>Data!F40</f>
        <v>200</v>
      </c>
      <c r="G40">
        <f>Data!G40</f>
        <v>19.22</v>
      </c>
      <c r="H40" s="11">
        <f>Data!H40</f>
        <v>15.375999999999999</v>
      </c>
      <c r="I40" s="8">
        <f>Data!I40</f>
        <v>28.382702194983771</v>
      </c>
      <c r="J40">
        <f>Data!J40</f>
        <v>2600</v>
      </c>
      <c r="K40">
        <f>Data!Y40</f>
        <v>0</v>
      </c>
      <c r="L40">
        <f>Data!Z40</f>
        <v>30</v>
      </c>
      <c r="M40" s="11">
        <f>Data!K40</f>
        <v>18.571428571428573</v>
      </c>
      <c r="N40" s="11">
        <f>Data!L40</f>
        <v>0.61672441532571176</v>
      </c>
      <c r="P40">
        <f>Data!O40</f>
        <v>803.6</v>
      </c>
      <c r="Q40" s="11">
        <f>Data!Q40</f>
        <v>24.108000000000001</v>
      </c>
      <c r="R40" s="10">
        <f>Data!U40</f>
        <v>691</v>
      </c>
      <c r="S40">
        <v>20.8</v>
      </c>
      <c r="T40" s="11">
        <f t="shared" si="5"/>
        <v>1.1629522431259045</v>
      </c>
      <c r="V40">
        <v>701</v>
      </c>
      <c r="W40" s="8">
        <v>28.3</v>
      </c>
      <c r="X40" s="11">
        <f t="shared" si="6"/>
        <v>1.1463623395149787</v>
      </c>
      <c r="Z40">
        <v>628</v>
      </c>
      <c r="AA40" s="8">
        <v>32.6</v>
      </c>
      <c r="AB40" s="11">
        <f t="shared" si="4"/>
        <v>1.2796178343949045</v>
      </c>
    </row>
    <row r="41" spans="1:28">
      <c r="A41" t="str">
        <f>Data!A41</f>
        <v>Scp4-3</v>
      </c>
      <c r="B41">
        <f>Data!B41</f>
        <v>140</v>
      </c>
      <c r="C41">
        <f>Data!C41</f>
        <v>140</v>
      </c>
      <c r="D41">
        <f>Data!D41</f>
        <v>5.86</v>
      </c>
      <c r="E41">
        <f>Data!E41</f>
        <v>321.10000000000002</v>
      </c>
      <c r="F41">
        <f>Data!F41</f>
        <v>200</v>
      </c>
      <c r="G41">
        <f>Data!G41</f>
        <v>18.760000000000002</v>
      </c>
      <c r="H41" s="11">
        <f>Data!H41</f>
        <v>15.008000000000003</v>
      </c>
      <c r="I41" s="8">
        <f>Data!I41</f>
        <v>28.247911338017467</v>
      </c>
      <c r="J41">
        <f>Data!J41</f>
        <v>2600</v>
      </c>
      <c r="K41">
        <f>Data!Y41</f>
        <v>0</v>
      </c>
      <c r="L41">
        <f>Data!Z41</f>
        <v>40</v>
      </c>
      <c r="M41" s="11">
        <f>Data!K41</f>
        <v>18.571428571428573</v>
      </c>
      <c r="N41" s="11">
        <f>Data!L41</f>
        <v>0.61549076756660259</v>
      </c>
      <c r="P41">
        <f>Data!O41</f>
        <v>735</v>
      </c>
      <c r="Q41" s="11">
        <f>Data!Q41</f>
        <v>29.4</v>
      </c>
      <c r="R41" s="10">
        <f>Data!U41</f>
        <v>612</v>
      </c>
      <c r="S41">
        <v>24.5</v>
      </c>
      <c r="T41" s="11">
        <f t="shared" si="5"/>
        <v>1.2009803921568627</v>
      </c>
      <c r="V41">
        <v>621</v>
      </c>
      <c r="W41" s="8">
        <v>32.700000000000003</v>
      </c>
      <c r="X41" s="11">
        <f t="shared" si="6"/>
        <v>1.1835748792270531</v>
      </c>
      <c r="Z41">
        <v>561</v>
      </c>
      <c r="AA41" s="8">
        <v>35.9</v>
      </c>
      <c r="AB41" s="11">
        <f t="shared" si="4"/>
        <v>1.3101604278074865</v>
      </c>
    </row>
    <row r="42" spans="1:28">
      <c r="A42" t="str">
        <f>Data!A42</f>
        <v>Scp4-4</v>
      </c>
      <c r="B42">
        <f>Data!B42</f>
        <v>140</v>
      </c>
      <c r="C42">
        <f>Data!C42</f>
        <v>140</v>
      </c>
      <c r="D42">
        <f>Data!D42</f>
        <v>5.86</v>
      </c>
      <c r="E42">
        <f>Data!E42</f>
        <v>321.10000000000002</v>
      </c>
      <c r="F42">
        <f>Data!F42</f>
        <v>200</v>
      </c>
      <c r="G42">
        <f>Data!G42</f>
        <v>18.760000000000002</v>
      </c>
      <c r="H42" s="11">
        <f>Data!H42</f>
        <v>15.008000000000003</v>
      </c>
      <c r="I42" s="8">
        <f>Data!I42</f>
        <v>28.247911338017467</v>
      </c>
      <c r="J42">
        <f>Data!J42</f>
        <v>2600</v>
      </c>
      <c r="K42">
        <f>Data!Y42</f>
        <v>0</v>
      </c>
      <c r="L42">
        <f>Data!Z42</f>
        <v>60</v>
      </c>
      <c r="M42" s="11">
        <f>Data!K42</f>
        <v>18.571428571428573</v>
      </c>
      <c r="N42" s="11">
        <f>Data!L42</f>
        <v>0.61549076756660259</v>
      </c>
      <c r="P42">
        <f>Data!O42</f>
        <v>555.70000000000005</v>
      </c>
      <c r="Q42" s="11">
        <f>Data!Q42</f>
        <v>33.341999999999999</v>
      </c>
      <c r="R42" s="10">
        <f>Data!U42</f>
        <v>498</v>
      </c>
      <c r="S42">
        <v>29.9</v>
      </c>
      <c r="T42" s="11">
        <f t="shared" si="5"/>
        <v>1.1158634538152612</v>
      </c>
      <c r="V42">
        <v>513</v>
      </c>
      <c r="W42" s="8">
        <v>38.1</v>
      </c>
      <c r="X42" s="11">
        <f t="shared" si="6"/>
        <v>1.0832358674463938</v>
      </c>
      <c r="Z42">
        <v>470</v>
      </c>
      <c r="AA42" s="8">
        <v>39.9</v>
      </c>
      <c r="AB42" s="11">
        <f t="shared" si="4"/>
        <v>1.182340425531915</v>
      </c>
    </row>
    <row r="43" spans="1:28">
      <c r="A43" t="str">
        <f>Data!A43</f>
        <v>Scp5-1</v>
      </c>
      <c r="B43">
        <f>Data!B43</f>
        <v>200</v>
      </c>
      <c r="C43">
        <f>Data!C43</f>
        <v>200</v>
      </c>
      <c r="D43">
        <f>Data!D43</f>
        <v>5.86</v>
      </c>
      <c r="E43">
        <f>Data!E43</f>
        <v>321.10000000000002</v>
      </c>
      <c r="F43">
        <f>Data!F43</f>
        <v>200</v>
      </c>
      <c r="G43">
        <f>Data!G43</f>
        <v>26.77</v>
      </c>
      <c r="H43" s="11">
        <f>Data!H43</f>
        <v>21.416</v>
      </c>
      <c r="I43" s="8">
        <f>Data!I43</f>
        <v>30.408693826425775</v>
      </c>
      <c r="J43">
        <f>Data!J43</f>
        <v>2600</v>
      </c>
      <c r="K43">
        <f>Data!Y43</f>
        <v>0</v>
      </c>
      <c r="L43">
        <f>Data!Z43</f>
        <v>30</v>
      </c>
      <c r="M43" s="11">
        <f>Data!K43</f>
        <v>13</v>
      </c>
      <c r="N43" s="11">
        <f>Data!L43</f>
        <v>0.44636439587282273</v>
      </c>
      <c r="P43">
        <f>Data!O43</f>
        <v>1793.4</v>
      </c>
      <c r="Q43" s="11">
        <f>Data!Q43</f>
        <v>53.802</v>
      </c>
      <c r="R43" s="10">
        <f>Data!U43</f>
        <v>1477</v>
      </c>
      <c r="S43" s="8">
        <v>45</v>
      </c>
      <c r="T43" s="11">
        <f t="shared" si="5"/>
        <v>1.214218009478673</v>
      </c>
      <c r="V43">
        <v>1477</v>
      </c>
      <c r="W43" s="8">
        <v>57</v>
      </c>
      <c r="X43" s="11">
        <f t="shared" si="6"/>
        <v>1.214218009478673</v>
      </c>
      <c r="Z43">
        <v>1377</v>
      </c>
      <c r="AA43" s="8">
        <v>65.7</v>
      </c>
      <c r="AB43" s="11">
        <f t="shared" si="4"/>
        <v>1.3023965141612202</v>
      </c>
    </row>
    <row r="44" spans="1:28">
      <c r="A44" t="str">
        <f>Data!A44</f>
        <v>Scp5-2</v>
      </c>
      <c r="B44">
        <f>Data!B44</f>
        <v>200</v>
      </c>
      <c r="C44">
        <f>Data!C44</f>
        <v>200</v>
      </c>
      <c r="D44">
        <f>Data!D44</f>
        <v>5.86</v>
      </c>
      <c r="E44">
        <f>Data!E44</f>
        <v>321.10000000000002</v>
      </c>
      <c r="F44">
        <f>Data!F44</f>
        <v>200</v>
      </c>
      <c r="G44">
        <f>Data!G44</f>
        <v>22.79</v>
      </c>
      <c r="H44" s="11">
        <f>Data!H44</f>
        <v>18.231999999999999</v>
      </c>
      <c r="I44" s="8">
        <f>Data!I44</f>
        <v>29.381374034163649</v>
      </c>
      <c r="J44">
        <f>Data!J44</f>
        <v>2600</v>
      </c>
      <c r="K44">
        <f>Data!Y44</f>
        <v>0</v>
      </c>
      <c r="L44">
        <f>Data!Z44</f>
        <v>50</v>
      </c>
      <c r="M44" s="11">
        <f>Data!K44</f>
        <v>13</v>
      </c>
      <c r="N44" s="11">
        <f>Data!L44</f>
        <v>0.43672177102368237</v>
      </c>
      <c r="P44">
        <f>Data!O44</f>
        <v>1425.9</v>
      </c>
      <c r="Q44" s="11">
        <f>Data!Q44</f>
        <v>71.295000000000002</v>
      </c>
      <c r="R44" s="10">
        <f>Data!U44</f>
        <v>1182</v>
      </c>
      <c r="S44">
        <v>59.1</v>
      </c>
      <c r="T44" s="11">
        <f t="shared" si="5"/>
        <v>1.2063451776649747</v>
      </c>
      <c r="V44">
        <v>1204</v>
      </c>
      <c r="W44" s="8">
        <v>71.400000000000006</v>
      </c>
      <c r="X44" s="11">
        <f t="shared" si="6"/>
        <v>1.1843023255813954</v>
      </c>
      <c r="Z44">
        <v>1118</v>
      </c>
      <c r="AA44" s="8">
        <v>77.7</v>
      </c>
      <c r="AB44" s="11">
        <f t="shared" si="4"/>
        <v>1.2754025044722721</v>
      </c>
    </row>
    <row r="45" spans="1:28">
      <c r="A45" t="str">
        <f>Data!A45</f>
        <v>Scp5-3</v>
      </c>
      <c r="B45">
        <f>Data!B45</f>
        <v>200</v>
      </c>
      <c r="C45">
        <f>Data!C45</f>
        <v>200</v>
      </c>
      <c r="D45">
        <f>Data!D45</f>
        <v>5.86</v>
      </c>
      <c r="E45">
        <f>Data!E45</f>
        <v>321.10000000000002</v>
      </c>
      <c r="F45">
        <f>Data!F45</f>
        <v>200</v>
      </c>
      <c r="G45">
        <f>Data!G45</f>
        <v>26.77</v>
      </c>
      <c r="H45" s="11">
        <f>Data!H45</f>
        <v>21.416</v>
      </c>
      <c r="I45" s="8">
        <f>Data!I45</f>
        <v>30.408693826425775</v>
      </c>
      <c r="J45">
        <f>Data!J45</f>
        <v>2600</v>
      </c>
      <c r="K45">
        <f>Data!Y45</f>
        <v>0</v>
      </c>
      <c r="L45">
        <f>Data!Z45</f>
        <v>80</v>
      </c>
      <c r="M45" s="11">
        <f>Data!K45</f>
        <v>13</v>
      </c>
      <c r="N45" s="11">
        <f>Data!L45</f>
        <v>0.44636439587282273</v>
      </c>
      <c r="P45">
        <f>Data!O45</f>
        <v>1200.5</v>
      </c>
      <c r="Q45" s="11">
        <f>Data!Q45</f>
        <v>96.04</v>
      </c>
      <c r="R45" s="10">
        <f>Data!U45</f>
        <v>1082</v>
      </c>
      <c r="S45">
        <v>86.7</v>
      </c>
      <c r="T45" s="11">
        <f t="shared" si="5"/>
        <v>1.1095194085027726</v>
      </c>
      <c r="V45">
        <v>994</v>
      </c>
      <c r="W45" s="8">
        <v>91.8</v>
      </c>
      <c r="X45" s="11">
        <f t="shared" si="6"/>
        <v>1.2077464788732395</v>
      </c>
      <c r="Z45">
        <v>929</v>
      </c>
      <c r="AA45" s="8">
        <v>95.1</v>
      </c>
      <c r="AB45" s="11">
        <f t="shared" si="4"/>
        <v>1.2922497308934338</v>
      </c>
    </row>
    <row r="46" spans="1:28">
      <c r="S46" s="7" t="s">
        <v>133</v>
      </c>
      <c r="T46" s="12">
        <f>AVERAGE(T25:T45)</f>
        <v>1.2040688388434657</v>
      </c>
      <c r="W46" s="17" t="s">
        <v>134</v>
      </c>
      <c r="X46" s="12">
        <f>AVERAGE(X25:X45)</f>
        <v>1.1917532769543615</v>
      </c>
      <c r="AA46" s="17" t="s">
        <v>134</v>
      </c>
      <c r="AB46" s="12">
        <f>AVERAGE(AB25:AB45)</f>
        <v>1.3332539168569713</v>
      </c>
    </row>
    <row r="47" spans="1:28">
      <c r="S47" t="s">
        <v>135</v>
      </c>
      <c r="T47" s="9">
        <f>STDEV(T25:T45)</f>
        <v>6.7945726350139679E-2</v>
      </c>
      <c r="W47" s="8" t="s">
        <v>132</v>
      </c>
      <c r="X47" s="9">
        <f>STDEV(X25:X45)</f>
        <v>6.8103082937835138E-2</v>
      </c>
      <c r="AA47" s="8" t="s">
        <v>132</v>
      </c>
      <c r="AB47" s="9">
        <f>STDEV(AB25:AB45)</f>
        <v>8.2596528958444229E-2</v>
      </c>
    </row>
    <row r="48" spans="1:28">
      <c r="A48" s="20" t="str">
        <f>Data!A47</f>
        <v>Mursi, Uy, Brad</v>
      </c>
      <c r="B48" s="20">
        <v>2003</v>
      </c>
      <c r="C48" s="21" t="s">
        <v>94</v>
      </c>
      <c r="W48" s="8"/>
      <c r="X48" s="11"/>
      <c r="AA48" s="8"/>
      <c r="AB48" s="11"/>
    </row>
    <row r="49" spans="1:28">
      <c r="A49" t="str">
        <f>Data!A48</f>
        <v>SL-C110</v>
      </c>
      <c r="B49">
        <f>Data!B48</f>
        <v>120</v>
      </c>
      <c r="C49">
        <f>Data!C48</f>
        <v>120</v>
      </c>
      <c r="D49">
        <f>Data!D48</f>
        <v>5</v>
      </c>
      <c r="E49">
        <f>Data!E48</f>
        <v>761</v>
      </c>
      <c r="F49">
        <f>Data!F48</f>
        <v>200</v>
      </c>
      <c r="H49">
        <f>Data!H48</f>
        <v>20.34</v>
      </c>
      <c r="I49" s="8">
        <f>Data!I48</f>
        <v>30.070637452821007</v>
      </c>
      <c r="J49">
        <f>Data!J48</f>
        <v>3020</v>
      </c>
      <c r="K49">
        <f>Data!Y48</f>
        <v>0</v>
      </c>
      <c r="L49">
        <f>Data!Z48</f>
        <v>8</v>
      </c>
      <c r="M49" s="11">
        <f>Data!K48</f>
        <v>25.166666666666668</v>
      </c>
      <c r="N49" s="11">
        <f>Data!L48</f>
        <v>1.2217411757422663</v>
      </c>
      <c r="P49">
        <f>Data!O48</f>
        <v>1481</v>
      </c>
      <c r="Q49" s="11">
        <f>Data!Q48</f>
        <v>11.848000000000001</v>
      </c>
      <c r="R49" s="10">
        <f>Data!U48</f>
        <v>811</v>
      </c>
      <c r="S49">
        <v>6.5</v>
      </c>
      <c r="T49" s="11">
        <f>P49/R49</f>
        <v>1.8261405672009865</v>
      </c>
      <c r="V49">
        <v>827</v>
      </c>
      <c r="W49" s="8">
        <v>17</v>
      </c>
      <c r="X49" s="11">
        <f>P49/V49</f>
        <v>1.7908101571946795</v>
      </c>
      <c r="Z49">
        <v>643</v>
      </c>
      <c r="AA49" s="8">
        <v>29.9</v>
      </c>
      <c r="AB49" s="11">
        <f t="shared" si="4"/>
        <v>2.3032659409020217</v>
      </c>
    </row>
    <row r="50" spans="1:28">
      <c r="A50" t="str">
        <f>Data!A49</f>
        <v>SL-C160</v>
      </c>
      <c r="B50">
        <f>Data!B49</f>
        <v>170</v>
      </c>
      <c r="C50">
        <f>Data!C49</f>
        <v>170</v>
      </c>
      <c r="D50">
        <f>Data!D49</f>
        <v>5</v>
      </c>
      <c r="E50">
        <f>Data!E49</f>
        <v>761</v>
      </c>
      <c r="F50">
        <f>Data!F49</f>
        <v>200</v>
      </c>
      <c r="H50">
        <f>Data!H49</f>
        <v>20.34</v>
      </c>
      <c r="I50" s="8">
        <f>Data!I49</f>
        <v>30.070637452821007</v>
      </c>
      <c r="J50">
        <f>Data!J49</f>
        <v>3020</v>
      </c>
      <c r="K50">
        <f>Data!Y49</f>
        <v>0</v>
      </c>
      <c r="L50">
        <f>Data!Z49</f>
        <v>15</v>
      </c>
      <c r="M50" s="11">
        <f>Data!K49</f>
        <v>17.764705882352942</v>
      </c>
      <c r="N50" s="11">
        <f>Data!L49</f>
        <v>0.83873492320844489</v>
      </c>
      <c r="P50">
        <f>Data!O49</f>
        <v>2126</v>
      </c>
      <c r="Q50" s="11">
        <f>Data!Q49</f>
        <v>31.89</v>
      </c>
      <c r="R50" s="10">
        <f>Data!U49</f>
        <v>1763</v>
      </c>
      <c r="S50">
        <v>27.1</v>
      </c>
      <c r="T50" s="11">
        <f>P50/R50</f>
        <v>1.2058990357345434</v>
      </c>
      <c r="V50">
        <v>1804</v>
      </c>
      <c r="W50" s="8">
        <v>47</v>
      </c>
      <c r="X50" s="11">
        <f>P50/V50</f>
        <v>1.1784922394678492</v>
      </c>
      <c r="Z50">
        <v>1557</v>
      </c>
      <c r="AA50" s="8">
        <v>66.8</v>
      </c>
      <c r="AB50" s="11">
        <f t="shared" si="4"/>
        <v>1.365446371226718</v>
      </c>
    </row>
    <row r="51" spans="1:28">
      <c r="A51" t="str">
        <f>Data!A50</f>
        <v>SL-C210</v>
      </c>
      <c r="B51">
        <f>Data!B50</f>
        <v>220</v>
      </c>
      <c r="C51">
        <f>Data!C50</f>
        <v>220</v>
      </c>
      <c r="D51">
        <f>Data!D50</f>
        <v>5</v>
      </c>
      <c r="E51">
        <f>Data!E50</f>
        <v>761</v>
      </c>
      <c r="F51">
        <f>Data!F50</f>
        <v>200</v>
      </c>
      <c r="H51">
        <f>Data!H50</f>
        <v>20.34</v>
      </c>
      <c r="I51" s="8">
        <f>Data!I50</f>
        <v>30.070637452821007</v>
      </c>
      <c r="J51">
        <f>Data!J50</f>
        <v>3020</v>
      </c>
      <c r="K51">
        <f>Data!Y50</f>
        <v>0</v>
      </c>
      <c r="L51">
        <f>Data!Z50</f>
        <v>18</v>
      </c>
      <c r="M51" s="11">
        <f>Data!K50</f>
        <v>13.727272727272727</v>
      </c>
      <c r="N51" s="11">
        <f>Data!L50</f>
        <v>0.63505705933526435</v>
      </c>
      <c r="P51">
        <f>Data!O50</f>
        <v>2939</v>
      </c>
      <c r="Q51" s="11">
        <f>Data!Q50</f>
        <v>52.902000000000001</v>
      </c>
      <c r="R51" s="10">
        <f>Data!U50</f>
        <v>2812</v>
      </c>
      <c r="S51">
        <v>55.5</v>
      </c>
      <c r="T51" s="11">
        <f>P51/R51</f>
        <v>1.0451635846372689</v>
      </c>
      <c r="V51">
        <v>2883</v>
      </c>
      <c r="W51" s="8">
        <v>77</v>
      </c>
      <c r="X51" s="11">
        <f>P51/V51</f>
        <v>1.0194242108914324</v>
      </c>
      <c r="Z51">
        <v>2600</v>
      </c>
      <c r="AA51" s="8">
        <v>104.3</v>
      </c>
      <c r="AB51" s="11">
        <f t="shared" si="4"/>
        <v>1.1303846153846153</v>
      </c>
    </row>
    <row r="52" spans="1:28">
      <c r="A52" t="str">
        <f>Data!A51</f>
        <v>SL-C260</v>
      </c>
      <c r="B52">
        <f>Data!B51</f>
        <v>270</v>
      </c>
      <c r="C52">
        <f>Data!C51</f>
        <v>270</v>
      </c>
      <c r="D52">
        <f>Data!D51</f>
        <v>5</v>
      </c>
      <c r="E52">
        <f>Data!E51</f>
        <v>761</v>
      </c>
      <c r="F52">
        <f>Data!F51</f>
        <v>200</v>
      </c>
      <c r="H52">
        <f>Data!H51</f>
        <v>20.34</v>
      </c>
      <c r="I52" s="8">
        <f>Data!I51</f>
        <v>30.070637452821007</v>
      </c>
      <c r="J52">
        <f>Data!J51</f>
        <v>3020</v>
      </c>
      <c r="K52">
        <f>Data!Y51</f>
        <v>0</v>
      </c>
      <c r="L52">
        <f>Data!Z51</f>
        <v>23</v>
      </c>
      <c r="M52" s="11">
        <f>Data!K51</f>
        <v>11.185185185185185</v>
      </c>
      <c r="N52" s="11">
        <f>Data!L51</f>
        <v>0.50911410848114147</v>
      </c>
      <c r="P52">
        <f>Data!O51</f>
        <v>3062</v>
      </c>
      <c r="Q52" s="11">
        <f>Data!Q51</f>
        <v>70.426000000000002</v>
      </c>
      <c r="R52" s="10">
        <f>Data!U51</f>
        <v>3860</v>
      </c>
      <c r="S52">
        <v>97</v>
      </c>
      <c r="T52" s="11">
        <f>P52/R52</f>
        <v>0.79326424870466317</v>
      </c>
      <c r="V52">
        <v>3967</v>
      </c>
      <c r="W52" s="8">
        <v>118.6</v>
      </c>
      <c r="X52" s="11">
        <f>P52/V52</f>
        <v>0.77186791025964208</v>
      </c>
      <c r="Z52">
        <v>3645</v>
      </c>
      <c r="AA52" s="8">
        <v>155.30000000000001</v>
      </c>
      <c r="AB52" s="11">
        <f t="shared" si="4"/>
        <v>0.84005486968449927</v>
      </c>
    </row>
    <row r="53" spans="1:28">
      <c r="M53" s="11"/>
      <c r="N53" s="11"/>
      <c r="Q53" s="11"/>
      <c r="R53" s="10"/>
      <c r="S53" s="7" t="s">
        <v>136</v>
      </c>
      <c r="T53" s="12">
        <f>AVERAGE(T49:T52)</f>
        <v>1.2176168590693655</v>
      </c>
      <c r="W53" s="17" t="s">
        <v>136</v>
      </c>
      <c r="X53" s="12">
        <f>AVERAGE(X49:X52)</f>
        <v>1.1901486294534007</v>
      </c>
      <c r="AA53" s="17" t="s">
        <v>136</v>
      </c>
      <c r="AB53" s="12">
        <f>AVERAGE(AB49:AB52)</f>
        <v>1.4097879492994636</v>
      </c>
    </row>
    <row r="54" spans="1:28">
      <c r="A54" s="20" t="s">
        <v>100</v>
      </c>
      <c r="B54" s="20">
        <v>2003</v>
      </c>
      <c r="C54" s="21" t="s">
        <v>101</v>
      </c>
      <c r="S54" t="s">
        <v>132</v>
      </c>
      <c r="T54" s="9">
        <f>STDEV(T49:T52)</f>
        <v>0.43979301211958555</v>
      </c>
      <c r="W54" s="8" t="s">
        <v>132</v>
      </c>
      <c r="X54" s="9">
        <f>STDEV(X49:X52)</f>
        <v>0.43398760714969464</v>
      </c>
      <c r="AA54" s="8" t="s">
        <v>132</v>
      </c>
      <c r="AB54" s="9">
        <f>STDEV(AB49:AB52)</f>
        <v>0.63322747414453551</v>
      </c>
    </row>
    <row r="55" spans="1:28">
      <c r="A55">
        <f>Data!A54</f>
        <v>1</v>
      </c>
      <c r="B55">
        <v>130</v>
      </c>
      <c r="C55">
        <v>195</v>
      </c>
      <c r="D55">
        <v>2.65</v>
      </c>
      <c r="E55">
        <v>340</v>
      </c>
      <c r="F55">
        <v>200</v>
      </c>
      <c r="H55">
        <v>18.46</v>
      </c>
      <c r="I55" s="8">
        <f>Data!I54</f>
        <v>29.45775411506467</v>
      </c>
      <c r="J55">
        <v>780</v>
      </c>
      <c r="K55">
        <f>Data!Y54</f>
        <v>14</v>
      </c>
      <c r="M55" s="11">
        <f>Data!K54</f>
        <v>6</v>
      </c>
      <c r="N55" s="11">
        <f>Data!L54</f>
        <v>0.20061288528597068</v>
      </c>
      <c r="P55">
        <f>Data!O54</f>
        <v>872</v>
      </c>
      <c r="Q55" s="11">
        <f>Data!Q54</f>
        <v>12.208</v>
      </c>
      <c r="R55" s="10">
        <v>872</v>
      </c>
      <c r="S55">
        <v>12.3</v>
      </c>
      <c r="T55" s="11">
        <f t="shared" ref="T55:T60" si="7">P55/R55</f>
        <v>1</v>
      </c>
      <c r="V55">
        <v>855</v>
      </c>
      <c r="W55" s="8">
        <v>13.7</v>
      </c>
      <c r="X55" s="11">
        <f t="shared" ref="X55:X60" si="8">P55/V55</f>
        <v>1.0198830409356725</v>
      </c>
      <c r="Z55">
        <v>838</v>
      </c>
      <c r="AA55" s="8">
        <v>15.2</v>
      </c>
      <c r="AB55" s="11">
        <f t="shared" si="4"/>
        <v>1.0405727923627686</v>
      </c>
    </row>
    <row r="56" spans="1:28">
      <c r="A56">
        <v>2</v>
      </c>
      <c r="B56">
        <v>130</v>
      </c>
      <c r="C56">
        <v>195</v>
      </c>
      <c r="D56">
        <v>2.65</v>
      </c>
      <c r="E56">
        <v>340</v>
      </c>
      <c r="F56">
        <v>200</v>
      </c>
      <c r="H56">
        <v>18.46</v>
      </c>
      <c r="I56" s="8">
        <f>Data!I55</f>
        <v>29.45775411506467</v>
      </c>
      <c r="J56">
        <v>780</v>
      </c>
      <c r="K56">
        <f>Data!Y55</f>
        <v>14</v>
      </c>
      <c r="M56" s="11">
        <f>Data!K55</f>
        <v>6</v>
      </c>
      <c r="N56" s="11">
        <f>Data!L55</f>
        <v>0.20061288528597068</v>
      </c>
      <c r="P56">
        <f>Data!O55</f>
        <v>812</v>
      </c>
      <c r="Q56" s="11">
        <f>Data!Q55</f>
        <v>11.368</v>
      </c>
      <c r="R56">
        <v>872</v>
      </c>
      <c r="S56">
        <v>12.3</v>
      </c>
      <c r="T56" s="11">
        <f t="shared" si="7"/>
        <v>0.93119266055045868</v>
      </c>
      <c r="V56">
        <v>855</v>
      </c>
      <c r="W56" s="8">
        <v>13.7</v>
      </c>
      <c r="X56" s="11">
        <f t="shared" si="8"/>
        <v>0.94970760233918128</v>
      </c>
      <c r="Z56">
        <v>838</v>
      </c>
      <c r="AA56" s="8">
        <v>15.2</v>
      </c>
      <c r="AB56" s="11">
        <f t="shared" si="4"/>
        <v>0.96897374701670647</v>
      </c>
    </row>
    <row r="57" spans="1:28">
      <c r="A57">
        <v>3</v>
      </c>
      <c r="B57">
        <v>130</v>
      </c>
      <c r="C57">
        <v>195</v>
      </c>
      <c r="D57">
        <v>2.65</v>
      </c>
      <c r="E57">
        <v>340</v>
      </c>
      <c r="F57">
        <v>200</v>
      </c>
      <c r="H57">
        <v>18.46</v>
      </c>
      <c r="I57" s="8">
        <f>Data!I56</f>
        <v>29.45775411506467</v>
      </c>
      <c r="J57">
        <v>780</v>
      </c>
      <c r="K57">
        <f>Data!Y56</f>
        <v>31</v>
      </c>
      <c r="M57" s="11">
        <f>Data!K56</f>
        <v>6</v>
      </c>
      <c r="N57" s="11">
        <f>Data!L56</f>
        <v>0.20061288528597068</v>
      </c>
      <c r="P57">
        <f>Data!O56</f>
        <v>646</v>
      </c>
      <c r="Q57" s="11">
        <f>Data!Q56</f>
        <v>20.026</v>
      </c>
      <c r="R57">
        <v>744</v>
      </c>
      <c r="S57">
        <v>23.1</v>
      </c>
      <c r="T57" s="11">
        <f t="shared" si="7"/>
        <v>0.86827956989247312</v>
      </c>
      <c r="V57">
        <v>741</v>
      </c>
      <c r="W57" s="8">
        <v>23.4</v>
      </c>
      <c r="X57" s="11">
        <f t="shared" si="8"/>
        <v>0.87179487179487181</v>
      </c>
      <c r="Z57">
        <v>722</v>
      </c>
      <c r="AA57" s="8">
        <v>24.8</v>
      </c>
      <c r="AB57" s="11">
        <f t="shared" si="4"/>
        <v>0.89473684210526316</v>
      </c>
    </row>
    <row r="58" spans="1:28">
      <c r="A58">
        <v>4</v>
      </c>
      <c r="B58">
        <v>130</v>
      </c>
      <c r="C58">
        <v>195</v>
      </c>
      <c r="D58">
        <v>2.65</v>
      </c>
      <c r="E58">
        <v>340</v>
      </c>
      <c r="F58">
        <v>200</v>
      </c>
      <c r="H58">
        <v>18.46</v>
      </c>
      <c r="I58" s="8">
        <f>Data!I57</f>
        <v>29.45775411506467</v>
      </c>
      <c r="J58">
        <v>780</v>
      </c>
      <c r="K58">
        <f>Data!Y57</f>
        <v>31</v>
      </c>
      <c r="M58" s="11">
        <f>Data!K57</f>
        <v>6</v>
      </c>
      <c r="N58" s="11">
        <f>Data!L57</f>
        <v>0.20061288528597068</v>
      </c>
      <c r="P58">
        <f>Data!O57</f>
        <v>610</v>
      </c>
      <c r="Q58" s="11">
        <f>Data!Q57</f>
        <v>18.91</v>
      </c>
      <c r="R58">
        <v>744</v>
      </c>
      <c r="S58">
        <v>23.1</v>
      </c>
      <c r="T58" s="11">
        <f t="shared" si="7"/>
        <v>0.81989247311827962</v>
      </c>
      <c r="V58">
        <v>741</v>
      </c>
      <c r="W58" s="8">
        <v>23.4</v>
      </c>
      <c r="X58" s="11">
        <f t="shared" si="8"/>
        <v>0.82321187584345479</v>
      </c>
      <c r="Z58">
        <v>723</v>
      </c>
      <c r="AA58" s="8">
        <v>24.7</v>
      </c>
      <c r="AB58" s="11">
        <f t="shared" si="4"/>
        <v>0.84370677731673582</v>
      </c>
    </row>
    <row r="59" spans="1:28">
      <c r="A59">
        <v>5</v>
      </c>
      <c r="B59">
        <v>130</v>
      </c>
      <c r="C59">
        <v>195</v>
      </c>
      <c r="D59">
        <v>2.65</v>
      </c>
      <c r="E59">
        <v>340</v>
      </c>
      <c r="F59">
        <v>200</v>
      </c>
      <c r="H59">
        <v>18.46</v>
      </c>
      <c r="I59" s="8">
        <f>Data!I58</f>
        <v>29.45775411506467</v>
      </c>
      <c r="J59">
        <v>2340</v>
      </c>
      <c r="K59">
        <f>Data!Y58</f>
        <v>14</v>
      </c>
      <c r="M59" s="11">
        <f>Data!K58</f>
        <v>18</v>
      </c>
      <c r="N59" s="11">
        <f>Data!L58</f>
        <v>0.60183865585791207</v>
      </c>
      <c r="P59">
        <f>Data!O58</f>
        <v>670</v>
      </c>
      <c r="Q59" s="11">
        <f>Data!Q58</f>
        <v>9.3800000000000008</v>
      </c>
      <c r="R59">
        <v>788</v>
      </c>
      <c r="S59">
        <v>12.2</v>
      </c>
      <c r="T59" s="11">
        <f t="shared" si="7"/>
        <v>0.85025380710659904</v>
      </c>
      <c r="V59">
        <v>772</v>
      </c>
      <c r="W59" s="8">
        <v>12.8</v>
      </c>
      <c r="X59" s="11">
        <f t="shared" si="8"/>
        <v>0.86787564766839376</v>
      </c>
      <c r="Z59">
        <v>712</v>
      </c>
      <c r="AA59" s="8">
        <v>18.3</v>
      </c>
      <c r="AB59" s="11">
        <f t="shared" si="4"/>
        <v>0.9410112359550562</v>
      </c>
    </row>
    <row r="60" spans="1:28">
      <c r="A60">
        <v>6</v>
      </c>
      <c r="B60">
        <v>130</v>
      </c>
      <c r="C60">
        <v>195</v>
      </c>
      <c r="D60">
        <v>2.65</v>
      </c>
      <c r="E60">
        <v>340</v>
      </c>
      <c r="F60">
        <v>200</v>
      </c>
      <c r="H60">
        <v>18.46</v>
      </c>
      <c r="I60" s="8">
        <f>Data!I59</f>
        <v>29.45775411506467</v>
      </c>
      <c r="J60">
        <v>2340</v>
      </c>
      <c r="K60">
        <f>Data!Y59</f>
        <v>14</v>
      </c>
      <c r="M60" s="11">
        <f>Data!K59</f>
        <v>18</v>
      </c>
      <c r="N60" s="11">
        <f>Data!L59</f>
        <v>0.60183865585791207</v>
      </c>
      <c r="P60">
        <f>Data!O59</f>
        <v>635</v>
      </c>
      <c r="Q60" s="11">
        <f>Data!Q59</f>
        <v>8.89</v>
      </c>
      <c r="R60">
        <v>788</v>
      </c>
      <c r="S60">
        <v>12.2</v>
      </c>
      <c r="T60" s="11">
        <f t="shared" si="7"/>
        <v>0.8058375634517766</v>
      </c>
      <c r="V60">
        <v>774</v>
      </c>
      <c r="W60" s="8">
        <v>12.7</v>
      </c>
      <c r="X60" s="11">
        <f t="shared" si="8"/>
        <v>0.82041343669250644</v>
      </c>
      <c r="Z60">
        <v>713</v>
      </c>
      <c r="AA60" s="8">
        <v>18.2</v>
      </c>
      <c r="AB60" s="11">
        <f t="shared" si="4"/>
        <v>0.89060308555399714</v>
      </c>
    </row>
    <row r="61" spans="1:28">
      <c r="S61" s="7" t="s">
        <v>137</v>
      </c>
      <c r="T61" s="12">
        <f>AVERAGE(T55:T60)</f>
        <v>0.87924267901993103</v>
      </c>
      <c r="W61" s="17" t="s">
        <v>137</v>
      </c>
      <c r="X61" s="12">
        <f>AVERAGE(X55:X60)</f>
        <v>0.89214774587901335</v>
      </c>
      <c r="AA61" s="17" t="s">
        <v>137</v>
      </c>
      <c r="AB61" s="12">
        <f>AVERAGE(AB55:AB60)</f>
        <v>0.92993408005175471</v>
      </c>
    </row>
    <row r="62" spans="1:28">
      <c r="A62" s="20" t="str">
        <f>Data!A61</f>
        <v>Han &amp; Yao</v>
      </c>
      <c r="B62" s="20">
        <f>Data!B61</f>
        <v>2004</v>
      </c>
      <c r="C62" s="21" t="s">
        <v>102</v>
      </c>
      <c r="S62" t="s">
        <v>138</v>
      </c>
      <c r="T62" s="9">
        <f>STDEV(T55:T60)</f>
        <v>7.3691836101424713E-2</v>
      </c>
      <c r="W62" s="8" t="s">
        <v>132</v>
      </c>
      <c r="X62" s="9">
        <f>STDEV(X55:X60)</f>
        <v>7.8141899395884382E-2</v>
      </c>
      <c r="AA62" s="8" t="s">
        <v>132</v>
      </c>
      <c r="AB62" s="9">
        <f>STDEV(AB55:AB60)</f>
        <v>6.9438669436677508E-2</v>
      </c>
    </row>
    <row r="63" spans="1:28">
      <c r="A63" s="13" t="str">
        <f>Data!A62</f>
        <v>lssc2-1</v>
      </c>
      <c r="B63" s="14">
        <f>Data!B62</f>
        <v>200</v>
      </c>
      <c r="C63" s="14">
        <f>Data!C62</f>
        <v>200</v>
      </c>
      <c r="D63" s="14">
        <f>Data!D62</f>
        <v>3</v>
      </c>
      <c r="E63" s="14">
        <f>Data!E62</f>
        <v>303.5</v>
      </c>
      <c r="F63" s="14">
        <f>Data!F62</f>
        <v>206.5</v>
      </c>
      <c r="G63" s="14">
        <f>Data!G62</f>
        <v>58.5</v>
      </c>
      <c r="H63" s="14">
        <f>Data!H62</f>
        <v>46.8</v>
      </c>
      <c r="I63" s="15">
        <f>Data!I62</f>
        <v>36.648554380755819</v>
      </c>
      <c r="J63" s="14">
        <f>Data!J62</f>
        <v>2310</v>
      </c>
      <c r="K63">
        <v>30</v>
      </c>
      <c r="M63">
        <v>11.6</v>
      </c>
      <c r="N63" s="9">
        <f>Data!L62</f>
        <v>0.48262195971668448</v>
      </c>
      <c r="P63">
        <f>Data!O62</f>
        <v>1450</v>
      </c>
      <c r="Q63" s="11">
        <f>Data!Q62</f>
        <v>43.5</v>
      </c>
      <c r="R63">
        <v>1552</v>
      </c>
      <c r="S63">
        <v>46.6</v>
      </c>
      <c r="T63" s="11">
        <f>P63/R63</f>
        <v>0.93427835051546393</v>
      </c>
      <c r="V63">
        <v>1598</v>
      </c>
      <c r="W63" s="8">
        <v>28.2</v>
      </c>
      <c r="X63" s="11">
        <f>P63/V63</f>
        <v>0.90738423028785986</v>
      </c>
      <c r="Z63">
        <v>1447</v>
      </c>
      <c r="AA63" s="8">
        <v>65.599999999999994</v>
      </c>
      <c r="AB63" s="11">
        <f t="shared" si="4"/>
        <v>1.0020732550103664</v>
      </c>
    </row>
    <row r="64" spans="1:28">
      <c r="A64" s="13" t="str">
        <f>Data!A63</f>
        <v>lssc2-2</v>
      </c>
      <c r="B64" s="14">
        <f>Data!B63</f>
        <v>200</v>
      </c>
      <c r="C64" s="14">
        <f>Data!C63</f>
        <v>200</v>
      </c>
      <c r="D64" s="14">
        <f>Data!D63</f>
        <v>3</v>
      </c>
      <c r="E64" s="14">
        <f>Data!E63</f>
        <v>303.5</v>
      </c>
      <c r="F64" s="14">
        <f>Data!F63</f>
        <v>206.5</v>
      </c>
      <c r="G64" s="14">
        <f>Data!G63</f>
        <v>58.5</v>
      </c>
      <c r="H64" s="14">
        <f>Data!H63</f>
        <v>46.8</v>
      </c>
      <c r="I64" s="15">
        <f>Data!I63</f>
        <v>36.648554380755819</v>
      </c>
      <c r="J64" s="14">
        <f>Data!J63</f>
        <v>2310</v>
      </c>
      <c r="K64">
        <v>30</v>
      </c>
      <c r="M64">
        <v>11.6</v>
      </c>
      <c r="N64" s="9">
        <f>Data!L63</f>
        <v>0.48262195971668448</v>
      </c>
      <c r="P64">
        <f>Data!O63</f>
        <v>1415</v>
      </c>
      <c r="Q64" s="11">
        <f>Data!Q63</f>
        <v>42.45</v>
      </c>
      <c r="R64">
        <v>1552</v>
      </c>
      <c r="S64">
        <v>46.6</v>
      </c>
      <c r="T64" s="11">
        <f>P64/R64</f>
        <v>0.91172680412371132</v>
      </c>
      <c r="V64">
        <v>1600</v>
      </c>
      <c r="W64" s="8">
        <v>28</v>
      </c>
      <c r="X64" s="11">
        <f>P64/V64</f>
        <v>0.88437500000000002</v>
      </c>
      <c r="Z64">
        <v>1448</v>
      </c>
      <c r="AA64" s="8">
        <v>65.5</v>
      </c>
      <c r="AB64" s="11">
        <f t="shared" si="4"/>
        <v>0.97720994475138123</v>
      </c>
    </row>
    <row r="65" spans="1:28">
      <c r="A65" s="13" t="str">
        <f>Data!A64</f>
        <v>lsh2-1</v>
      </c>
      <c r="B65" s="14">
        <f>Data!B64</f>
        <v>200</v>
      </c>
      <c r="C65" s="14">
        <f>Data!C64</f>
        <v>200</v>
      </c>
      <c r="D65" s="14">
        <f>Data!D64</f>
        <v>3</v>
      </c>
      <c r="E65" s="14">
        <f>Data!E64</f>
        <v>303.5</v>
      </c>
      <c r="F65" s="14">
        <f>Data!F64</f>
        <v>206.5</v>
      </c>
      <c r="G65" s="14">
        <f>Data!G64</f>
        <v>58.5</v>
      </c>
      <c r="H65" s="14">
        <f>Data!H64</f>
        <v>46.8</v>
      </c>
      <c r="I65" s="15">
        <f>Data!I64</f>
        <v>36.648554380755819</v>
      </c>
      <c r="J65" s="14">
        <f>Data!J64</f>
        <v>2310</v>
      </c>
      <c r="K65">
        <v>30</v>
      </c>
      <c r="M65">
        <v>11.6</v>
      </c>
      <c r="N65" s="9">
        <f>Data!L64</f>
        <v>0.48262195971668448</v>
      </c>
      <c r="P65">
        <f>Data!O64</f>
        <v>1502</v>
      </c>
      <c r="Q65" s="11">
        <f>Data!Q64</f>
        <v>45.06</v>
      </c>
      <c r="R65">
        <v>1552</v>
      </c>
      <c r="S65">
        <v>46.6</v>
      </c>
      <c r="T65" s="11">
        <f>P65/R65</f>
        <v>0.96778350515463918</v>
      </c>
      <c r="V65">
        <v>1595</v>
      </c>
      <c r="W65" s="8">
        <v>28.2</v>
      </c>
      <c r="X65" s="11">
        <f>P65/V65</f>
        <v>0.94169278996865202</v>
      </c>
      <c r="Z65">
        <v>1441</v>
      </c>
      <c r="AA65" s="8">
        <v>65.8</v>
      </c>
      <c r="AB65" s="11">
        <f t="shared" si="4"/>
        <v>1.0423317140874393</v>
      </c>
    </row>
    <row r="66" spans="1:28">
      <c r="A66" s="13" t="str">
        <f>Data!A65</f>
        <v>lsh2-2</v>
      </c>
      <c r="B66" s="14">
        <f>Data!B65</f>
        <v>200</v>
      </c>
      <c r="C66" s="14">
        <f>Data!C65</f>
        <v>200</v>
      </c>
      <c r="D66" s="14">
        <f>Data!D65</f>
        <v>3</v>
      </c>
      <c r="E66" s="14">
        <f>Data!E65</f>
        <v>303.5</v>
      </c>
      <c r="F66" s="14">
        <f>Data!F65</f>
        <v>206.5</v>
      </c>
      <c r="G66" s="14">
        <f>Data!G65</f>
        <v>58.5</v>
      </c>
      <c r="H66" s="14">
        <f>Data!H65</f>
        <v>46.8</v>
      </c>
      <c r="I66" s="15">
        <f>Data!I65</f>
        <v>36.648554380755819</v>
      </c>
      <c r="J66" s="14">
        <f>Data!J65</f>
        <v>2310</v>
      </c>
      <c r="K66">
        <v>30</v>
      </c>
      <c r="M66">
        <v>11.6</v>
      </c>
      <c r="N66" s="9">
        <f>Data!L65</f>
        <v>0.48262195971668448</v>
      </c>
      <c r="P66">
        <f>Data!O65</f>
        <v>1535</v>
      </c>
      <c r="Q66" s="11">
        <f>Data!Q65</f>
        <v>46.05</v>
      </c>
      <c r="R66">
        <v>1552</v>
      </c>
      <c r="S66">
        <v>46.6</v>
      </c>
      <c r="T66" s="11">
        <f>P66/R66</f>
        <v>0.98904639175257736</v>
      </c>
      <c r="V66">
        <v>1593</v>
      </c>
      <c r="W66" s="8">
        <v>28.4</v>
      </c>
      <c r="X66" s="11">
        <f>P66/V66</f>
        <v>0.96359070935342117</v>
      </c>
      <c r="Z66">
        <v>1439</v>
      </c>
      <c r="AA66" s="8">
        <v>65.900000000000006</v>
      </c>
      <c r="AB66" s="11">
        <f t="shared" si="4"/>
        <v>1.0667129951355108</v>
      </c>
    </row>
    <row r="67" spans="1:28">
      <c r="A67" s="13" t="str">
        <f>Data!A66</f>
        <v>lsv2</v>
      </c>
      <c r="B67" s="14">
        <f>Data!B66</f>
        <v>200</v>
      </c>
      <c r="C67" s="14">
        <f>Data!C66</f>
        <v>200</v>
      </c>
      <c r="D67" s="14">
        <f>Data!D66</f>
        <v>3</v>
      </c>
      <c r="E67" s="14">
        <f>Data!E66</f>
        <v>303.5</v>
      </c>
      <c r="F67" s="14">
        <f>Data!F66</f>
        <v>206.5</v>
      </c>
      <c r="G67" s="14">
        <f>Data!G66</f>
        <v>58.5</v>
      </c>
      <c r="H67" s="14">
        <f>Data!H66</f>
        <v>46.8</v>
      </c>
      <c r="I67" s="15">
        <f>Data!I66</f>
        <v>36.648554380755819</v>
      </c>
      <c r="J67" s="14">
        <f>Data!J66</f>
        <v>2310</v>
      </c>
      <c r="K67">
        <v>30</v>
      </c>
      <c r="M67">
        <v>11.6</v>
      </c>
      <c r="N67" s="9">
        <f>Data!L66</f>
        <v>0.48262195971668448</v>
      </c>
      <c r="P67">
        <f>Data!O66</f>
        <v>1620</v>
      </c>
      <c r="Q67" s="11">
        <f>Data!Q66</f>
        <v>48.6</v>
      </c>
      <c r="R67">
        <v>1552</v>
      </c>
      <c r="S67">
        <v>46.6</v>
      </c>
      <c r="T67" s="11">
        <f>P67/R67</f>
        <v>1.0438144329896908</v>
      </c>
      <c r="V67">
        <v>1587</v>
      </c>
      <c r="W67" s="8">
        <v>28.6</v>
      </c>
      <c r="X67" s="11">
        <f>P67/V67</f>
        <v>1.0207939508506616</v>
      </c>
      <c r="Z67">
        <v>1432</v>
      </c>
      <c r="AA67" s="8">
        <v>66.2</v>
      </c>
      <c r="AB67" s="11">
        <f t="shared" si="4"/>
        <v>1.1312849162011174</v>
      </c>
    </row>
    <row r="68" spans="1:28">
      <c r="S68" s="7" t="s">
        <v>139</v>
      </c>
      <c r="T68" s="12">
        <f>AVERAGE(T63:T67)</f>
        <v>0.96932989690721649</v>
      </c>
      <c r="W68" s="17" t="s">
        <v>139</v>
      </c>
      <c r="X68" s="12">
        <f>AVERAGE(X63:X67)</f>
        <v>0.94356733609211896</v>
      </c>
      <c r="AA68" s="17" t="s">
        <v>139</v>
      </c>
      <c r="AB68" s="12">
        <f>AVERAGE(AB63:AB67)</f>
        <v>1.0439225650371631</v>
      </c>
    </row>
    <row r="69" spans="1:28">
      <c r="S69" t="s">
        <v>135</v>
      </c>
      <c r="T69" s="9">
        <f>STDEV(T63:T67)</f>
        <v>5.1200109410379398E-2</v>
      </c>
      <c r="W69" t="s">
        <v>132</v>
      </c>
      <c r="X69" s="9">
        <f>STDEV(X63:X67)</f>
        <v>5.2870949548592769E-2</v>
      </c>
      <c r="AA69" t="s">
        <v>132</v>
      </c>
      <c r="AB69" s="9">
        <f>STDEV(AB63:AB67)</f>
        <v>5.9908374554021732E-2</v>
      </c>
    </row>
    <row r="71" spans="1:28">
      <c r="R71" s="5" t="s">
        <v>140</v>
      </c>
      <c r="S71" s="7" t="s">
        <v>141</v>
      </c>
      <c r="T71" s="12">
        <f>AVERAGE(T8:T22,T25:T45,T49:T52,T55:T60,T63:T67)</f>
        <v>1.1053036975732109</v>
      </c>
      <c r="V71" s="5" t="s">
        <v>140</v>
      </c>
      <c r="W71" s="7" t="s">
        <v>141</v>
      </c>
      <c r="X71" s="12">
        <f>AVERAGE(X8:X22,X25:X45,X49:X52,X55:X60,X63:X67)</f>
        <v>1.1785684975081019</v>
      </c>
      <c r="Z71" s="5" t="s">
        <v>140</v>
      </c>
      <c r="AA71" s="7" t="s">
        <v>141</v>
      </c>
      <c r="AB71" s="12">
        <f>AVERAGE(AB8:AB22,AB25:AB45,AB49:AB52,AB55:AB60,AB63:AB67)</f>
        <v>1.3338198906860759</v>
      </c>
    </row>
    <row r="72" spans="1:28">
      <c r="R72" s="2" t="s">
        <v>140</v>
      </c>
      <c r="S72" t="s">
        <v>132</v>
      </c>
      <c r="T72" s="9">
        <f>(15*T24+21*T47+4*T54+6*T62+5*T69)/51</f>
        <v>0.11736630044685686</v>
      </c>
      <c r="V72" s="2" t="s">
        <v>140</v>
      </c>
      <c r="W72" t="s">
        <v>132</v>
      </c>
      <c r="X72" s="9">
        <f>(15*X24+21*X47+4*X54+6*X62+5*X69)/51</f>
        <v>0.15718205273458499</v>
      </c>
      <c r="Z72" s="2" t="s">
        <v>140</v>
      </c>
      <c r="AA72" t="s">
        <v>132</v>
      </c>
      <c r="AB72" s="9">
        <f>(15*AB24+21*AB47+4*AB54+6*AB62+5*AB69)/51</f>
        <v>0.19901025927513566</v>
      </c>
    </row>
    <row r="73" spans="1:28">
      <c r="S73" t="s">
        <v>142</v>
      </c>
      <c r="T73" s="10">
        <f>COUNTIF(T8:T22, "&lt;1")+COUNTIF(T25:T45,"&lt;1")+COUNTIF(T49:T52,"&lt;1")+COUNTIF(T55:T60,"&lt;1")+COUNTIF(T63:T67,"&lt;1")</f>
        <v>15</v>
      </c>
      <c r="X73" s="10">
        <f>COUNTIF(X8:X22, "&lt;1")+COUNTIF(X25:X45,"&lt;1")+COUNTIF(X49:X52,"&lt;1")+COUNTIF(X55:X60,"&lt;1")+COUNTIF(X63:X67,"&lt;1")</f>
        <v>11</v>
      </c>
      <c r="AB73" s="10">
        <f>COUNTIF(AB8:AB22, "&lt;1")+COUNTIF(AB25:AB45,"&lt;1")+COUNTIF(AB49:AB52,"&lt;1")+COUNTIF(AB55:AB60,"&lt;1")+COUNTIF(AB63:AB67,"&lt;1")</f>
        <v>7</v>
      </c>
    </row>
    <row r="74" spans="1:28">
      <c r="S74" t="s">
        <v>143</v>
      </c>
      <c r="T74" s="11">
        <f t="array" ref="T74">(SUM(IF(T8:T22 &lt;1,T8:T22))+SUM(IF(T25:T45 &lt;1,T25:T45))+SUM(IF(T49:T52 &lt;1,T49:T52))+SUM(IF(T55:T60 &lt;1,T55:T60))+SUM(IF(T63:T67 &lt;1,T63:T67)))/T73</f>
        <v>0.89933493198159331</v>
      </c>
      <c r="X74" s="11">
        <f t="array" ref="X74">(SUM(IF(X8:X22 &lt;1,X8:X22))+SUM(IF(X25:X45 &lt;1,X25:X45))+SUM(IF(X49:X52 &lt;1,X49:X52))+SUM(IF(X55:X60 &lt;1,X55:X60))+SUM(IF(X63:X67 &lt;1,X63:X67)))/X73</f>
        <v>0.8843801232103613</v>
      </c>
      <c r="AB74" s="11">
        <f t="array" ref="AB74">(SUM(IF(AB8:AB22 &lt;1,AB8:AB22))+SUM(IF(AB25:AB45 &lt;1,AB25:AB45))+SUM(IF(AB49:AB52 &lt;1,AB49:AB52))+SUM(IF(AB55:AB60 &lt;1,AB55:AB60))+SUM(IF(AB63:AB67 &lt;1,AB63:AB67)))/AB73</f>
        <v>0.90804235748337703</v>
      </c>
    </row>
  </sheetData>
  <mergeCells count="12">
    <mergeCell ref="A1:H1"/>
    <mergeCell ref="B2:E2"/>
    <mergeCell ref="P4:Q4"/>
    <mergeCell ref="R4:S4"/>
    <mergeCell ref="J3:L3"/>
    <mergeCell ref="R3:T3"/>
    <mergeCell ref="Z1:AB1"/>
    <mergeCell ref="Z2:AB2"/>
    <mergeCell ref="Z3:AB3"/>
    <mergeCell ref="Z4:AA4"/>
    <mergeCell ref="V3:X3"/>
    <mergeCell ref="V4:W4"/>
  </mergeCells>
  <phoneticPr fontId="0" type="noConversion"/>
  <pageMargins left="0.74803149606299213" right="1.3385826771653544" top="0.98425196850393704" bottom="0.98425196850393704" header="0.51181102362204722" footer="0.51181102362204722"/>
  <pageSetup paperSize="9" scale="66" orientation="landscape" horizontalDpi="300" verticalDpi="0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2004-05-19T13:40:49Z</dcterms:created>
  <dcterms:modified xsi:type="dcterms:W3CDTF">2018-11-12T15:46:54Z</dcterms:modified>
  <cp:category/>
  <cp:contentStatus/>
</cp:coreProperties>
</file>