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07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482\"/>
    </mc:Choice>
  </mc:AlternateContent>
  <xr:revisionPtr revIDLastSave="0" documentId="8_{39AA663D-11AE-4D16-8BA1-1EDC892E4AB9}" xr6:coauthVersionLast="40" xr6:coauthVersionMax="40" xr10:uidLastSave="{00000000-0000-0000-0000-000000000000}"/>
  <bookViews>
    <workbookView xWindow="30" yWindow="75" windowWidth="11340" windowHeight="6555" firstSheet="1" activeTab="1" xr2:uid="{00000000-000D-0000-FFFF-FFFF00000000}"/>
  </bookViews>
  <sheets>
    <sheet name="Data" sheetId="1" r:id="rId1"/>
    <sheet name="Summary" sheetId="2" r:id="rId2"/>
    <sheet name="old Data" sheetId="3" r:id="rId3"/>
    <sheet name="Graph" sheetId="4" r:id="rId4"/>
    <sheet name="v slend" sheetId="5" r:id="rId5"/>
    <sheet name="v fcyl" sheetId="6" r:id="rId6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" i="1" l="1"/>
  <c r="K8" i="1"/>
  <c r="AC8" i="1"/>
  <c r="AD8" i="1"/>
  <c r="AE8" i="1"/>
  <c r="AF8" i="1"/>
  <c r="R8" i="1"/>
  <c r="AG8" i="1"/>
  <c r="AH8" i="1"/>
  <c r="L8" i="1"/>
  <c r="M8" i="1"/>
  <c r="N8" i="1"/>
  <c r="Q8" i="1"/>
  <c r="S8" i="1"/>
  <c r="AI8" i="1"/>
  <c r="AJ8" i="1"/>
  <c r="T8" i="1"/>
  <c r="V8" i="1"/>
  <c r="X8" i="1"/>
  <c r="AA8" i="1"/>
  <c r="I9" i="1"/>
  <c r="K9" i="1"/>
  <c r="AC9" i="1"/>
  <c r="AD9" i="1"/>
  <c r="AE9" i="1"/>
  <c r="AF9" i="1"/>
  <c r="R9" i="1"/>
  <c r="AG9" i="1"/>
  <c r="AH9" i="1"/>
  <c r="L9" i="1"/>
  <c r="M9" i="1"/>
  <c r="N9" i="1"/>
  <c r="Q9" i="1"/>
  <c r="S9" i="1"/>
  <c r="AI9" i="1"/>
  <c r="AJ9" i="1"/>
  <c r="T9" i="1"/>
  <c r="V9" i="1"/>
  <c r="X9" i="1"/>
  <c r="AA9" i="1"/>
  <c r="I10" i="1"/>
  <c r="K10" i="1"/>
  <c r="AC10" i="1"/>
  <c r="AD10" i="1"/>
  <c r="AE10" i="1"/>
  <c r="AF10" i="1"/>
  <c r="R10" i="1"/>
  <c r="AG10" i="1"/>
  <c r="AH10" i="1"/>
  <c r="L10" i="1"/>
  <c r="M10" i="1"/>
  <c r="N10" i="1"/>
  <c r="Q10" i="1"/>
  <c r="S10" i="1"/>
  <c r="AI10" i="1"/>
  <c r="AJ10" i="1"/>
  <c r="T10" i="1"/>
  <c r="V10" i="1"/>
  <c r="X10" i="1"/>
  <c r="AA10" i="1"/>
  <c r="I11" i="1"/>
  <c r="K11" i="1"/>
  <c r="AC11" i="1"/>
  <c r="AD11" i="1"/>
  <c r="AE11" i="1"/>
  <c r="AF11" i="1"/>
  <c r="R11" i="1"/>
  <c r="AG11" i="1"/>
  <c r="AH11" i="1"/>
  <c r="L11" i="1"/>
  <c r="M11" i="1"/>
  <c r="N11" i="1"/>
  <c r="Q11" i="1"/>
  <c r="S11" i="1"/>
  <c r="AI11" i="1"/>
  <c r="AJ11" i="1"/>
  <c r="T11" i="1"/>
  <c r="V11" i="1"/>
  <c r="X11" i="1"/>
  <c r="AA11" i="1"/>
  <c r="I12" i="1"/>
  <c r="K12" i="1"/>
  <c r="AC12" i="1"/>
  <c r="AD12" i="1"/>
  <c r="AE12" i="1"/>
  <c r="AF12" i="1"/>
  <c r="R12" i="1"/>
  <c r="AG12" i="1"/>
  <c r="AH12" i="1"/>
  <c r="L12" i="1"/>
  <c r="M12" i="1"/>
  <c r="N12" i="1"/>
  <c r="Q12" i="1"/>
  <c r="S12" i="1"/>
  <c r="AI12" i="1"/>
  <c r="AJ12" i="1"/>
  <c r="T12" i="1"/>
  <c r="V12" i="1"/>
  <c r="X12" i="1"/>
  <c r="AA12" i="1"/>
  <c r="I13" i="1"/>
  <c r="K13" i="1"/>
  <c r="AC13" i="1"/>
  <c r="AD13" i="1"/>
  <c r="AE13" i="1"/>
  <c r="AF13" i="1"/>
  <c r="R13" i="1"/>
  <c r="AG13" i="1"/>
  <c r="AH13" i="1"/>
  <c r="L13" i="1"/>
  <c r="M13" i="1"/>
  <c r="N13" i="1"/>
  <c r="Q13" i="1"/>
  <c r="S13" i="1"/>
  <c r="AI13" i="1"/>
  <c r="AJ13" i="1"/>
  <c r="T13" i="1"/>
  <c r="V13" i="1"/>
  <c r="X13" i="1"/>
  <c r="AA13" i="1"/>
  <c r="I14" i="1"/>
  <c r="K14" i="1"/>
  <c r="AC14" i="1"/>
  <c r="AD14" i="1"/>
  <c r="AE14" i="1"/>
  <c r="AF14" i="1"/>
  <c r="R14" i="1"/>
  <c r="AG14" i="1"/>
  <c r="AH14" i="1"/>
  <c r="L14" i="1"/>
  <c r="M14" i="1"/>
  <c r="N14" i="1"/>
  <c r="Q14" i="1"/>
  <c r="S14" i="1"/>
  <c r="AI14" i="1"/>
  <c r="AJ14" i="1"/>
  <c r="T14" i="1"/>
  <c r="V14" i="1"/>
  <c r="X14" i="1"/>
  <c r="AA14" i="1"/>
  <c r="I15" i="1"/>
  <c r="K15" i="1"/>
  <c r="AC15" i="1"/>
  <c r="AD15" i="1"/>
  <c r="AE15" i="1"/>
  <c r="AF15" i="1"/>
  <c r="R15" i="1"/>
  <c r="AG15" i="1"/>
  <c r="AH15" i="1"/>
  <c r="L15" i="1"/>
  <c r="M15" i="1"/>
  <c r="N15" i="1"/>
  <c r="Q15" i="1"/>
  <c r="S15" i="1"/>
  <c r="AI15" i="1"/>
  <c r="AJ15" i="1"/>
  <c r="T15" i="1"/>
  <c r="V15" i="1"/>
  <c r="X15" i="1"/>
  <c r="AA15" i="1"/>
  <c r="I16" i="1"/>
  <c r="K16" i="1"/>
  <c r="AC16" i="1"/>
  <c r="AD16" i="1"/>
  <c r="AE16" i="1"/>
  <c r="AF16" i="1"/>
  <c r="R16" i="1"/>
  <c r="AG16" i="1"/>
  <c r="AH16" i="1"/>
  <c r="L16" i="1"/>
  <c r="M16" i="1"/>
  <c r="N16" i="1"/>
  <c r="Q16" i="1"/>
  <c r="S16" i="1"/>
  <c r="AI16" i="1"/>
  <c r="AJ16" i="1"/>
  <c r="T16" i="1"/>
  <c r="V16" i="1"/>
  <c r="X16" i="1"/>
  <c r="AA16" i="1"/>
  <c r="I17" i="1"/>
  <c r="K17" i="1"/>
  <c r="AC17" i="1"/>
  <c r="AD17" i="1"/>
  <c r="AE17" i="1"/>
  <c r="AF17" i="1"/>
  <c r="R17" i="1"/>
  <c r="AG17" i="1"/>
  <c r="AH17" i="1"/>
  <c r="L17" i="1"/>
  <c r="M17" i="1"/>
  <c r="N17" i="1"/>
  <c r="Q17" i="1"/>
  <c r="S17" i="1"/>
  <c r="AI17" i="1"/>
  <c r="AJ17" i="1"/>
  <c r="T17" i="1"/>
  <c r="V17" i="1"/>
  <c r="X17" i="1"/>
  <c r="AA17" i="1"/>
  <c r="I18" i="1"/>
  <c r="K18" i="1"/>
  <c r="AC18" i="1"/>
  <c r="AD18" i="1"/>
  <c r="AE18" i="1"/>
  <c r="AF18" i="1"/>
  <c r="R18" i="1"/>
  <c r="AG18" i="1"/>
  <c r="AH18" i="1"/>
  <c r="L18" i="1"/>
  <c r="M18" i="1"/>
  <c r="N18" i="1"/>
  <c r="Q18" i="1"/>
  <c r="S18" i="1"/>
  <c r="AI18" i="1"/>
  <c r="AJ18" i="1"/>
  <c r="T18" i="1"/>
  <c r="V18" i="1"/>
  <c r="X18" i="1"/>
  <c r="AA18" i="1"/>
  <c r="I19" i="1"/>
  <c r="K19" i="1"/>
  <c r="AC19" i="1"/>
  <c r="AD19" i="1"/>
  <c r="AE19" i="1"/>
  <c r="AF19" i="1"/>
  <c r="R19" i="1"/>
  <c r="AG19" i="1"/>
  <c r="AH19" i="1"/>
  <c r="L19" i="1"/>
  <c r="M19" i="1"/>
  <c r="N19" i="1"/>
  <c r="Q19" i="1"/>
  <c r="S19" i="1"/>
  <c r="AI19" i="1"/>
  <c r="AJ19" i="1"/>
  <c r="T19" i="1"/>
  <c r="V19" i="1"/>
  <c r="X19" i="1"/>
  <c r="AA19" i="1"/>
  <c r="I20" i="1"/>
  <c r="K20" i="1"/>
  <c r="AC20" i="1"/>
  <c r="AD20" i="1"/>
  <c r="AE20" i="1"/>
  <c r="AF20" i="1"/>
  <c r="R20" i="1"/>
  <c r="AG20" i="1"/>
  <c r="AH20" i="1"/>
  <c r="L20" i="1"/>
  <c r="M20" i="1"/>
  <c r="N20" i="1"/>
  <c r="Q20" i="1"/>
  <c r="S20" i="1"/>
  <c r="AI20" i="1"/>
  <c r="AJ20" i="1"/>
  <c r="T20" i="1"/>
  <c r="V20" i="1"/>
  <c r="X20" i="1"/>
  <c r="AA20" i="1"/>
  <c r="I21" i="1"/>
  <c r="K21" i="1"/>
  <c r="AC21" i="1"/>
  <c r="AD21" i="1"/>
  <c r="AE21" i="1"/>
  <c r="AF21" i="1"/>
  <c r="R21" i="1"/>
  <c r="AG21" i="1"/>
  <c r="AH21" i="1"/>
  <c r="L21" i="1"/>
  <c r="M21" i="1"/>
  <c r="N21" i="1"/>
  <c r="Q21" i="1"/>
  <c r="S21" i="1"/>
  <c r="AI21" i="1"/>
  <c r="AJ21" i="1"/>
  <c r="T21" i="1"/>
  <c r="V21" i="1"/>
  <c r="X21" i="1"/>
  <c r="AA21" i="1"/>
  <c r="I22" i="1"/>
  <c r="K22" i="1"/>
  <c r="AC22" i="1"/>
  <c r="AD22" i="1"/>
  <c r="AE22" i="1"/>
  <c r="AF22" i="1"/>
  <c r="R22" i="1"/>
  <c r="AG22" i="1"/>
  <c r="AH22" i="1"/>
  <c r="L22" i="1"/>
  <c r="M22" i="1"/>
  <c r="N22" i="1"/>
  <c r="Q22" i="1"/>
  <c r="S22" i="1"/>
  <c r="AI22" i="1"/>
  <c r="AJ22" i="1"/>
  <c r="T22" i="1"/>
  <c r="V22" i="1"/>
  <c r="X22" i="1"/>
  <c r="AA22" i="1"/>
  <c r="I23" i="1"/>
  <c r="K23" i="1"/>
  <c r="AC23" i="1"/>
  <c r="AD23" i="1"/>
  <c r="AE23" i="1"/>
  <c r="AF23" i="1"/>
  <c r="R23" i="1"/>
  <c r="AG23" i="1"/>
  <c r="AH23" i="1"/>
  <c r="L23" i="1"/>
  <c r="M23" i="1"/>
  <c r="N23" i="1"/>
  <c r="Q23" i="1"/>
  <c r="S23" i="1"/>
  <c r="AI23" i="1"/>
  <c r="AJ23" i="1"/>
  <c r="T23" i="1"/>
  <c r="V23" i="1"/>
  <c r="X23" i="1"/>
  <c r="AA23" i="1"/>
  <c r="I24" i="1"/>
  <c r="K24" i="1"/>
  <c r="AC24" i="1"/>
  <c r="AD24" i="1"/>
  <c r="AE24" i="1"/>
  <c r="AF24" i="1"/>
  <c r="R24" i="1"/>
  <c r="AG24" i="1"/>
  <c r="AH24" i="1"/>
  <c r="L24" i="1"/>
  <c r="M24" i="1"/>
  <c r="N24" i="1"/>
  <c r="Q24" i="1"/>
  <c r="S24" i="1"/>
  <c r="AI24" i="1"/>
  <c r="AJ24" i="1"/>
  <c r="T24" i="1"/>
  <c r="V24" i="1"/>
  <c r="X24" i="1"/>
  <c r="AA24" i="1"/>
  <c r="I25" i="1"/>
  <c r="K25" i="1"/>
  <c r="AC25" i="1"/>
  <c r="AD25" i="1"/>
  <c r="AE25" i="1"/>
  <c r="AF25" i="1"/>
  <c r="R25" i="1"/>
  <c r="AG25" i="1"/>
  <c r="AH25" i="1"/>
  <c r="L25" i="1"/>
  <c r="M25" i="1"/>
  <c r="N25" i="1"/>
  <c r="Q25" i="1"/>
  <c r="S25" i="1"/>
  <c r="AI25" i="1"/>
  <c r="AJ25" i="1"/>
  <c r="T25" i="1"/>
  <c r="V25" i="1"/>
  <c r="X25" i="1"/>
  <c r="AA25" i="1"/>
  <c r="I26" i="1"/>
  <c r="K26" i="1"/>
  <c r="AC26" i="1"/>
  <c r="AD26" i="1"/>
  <c r="AE26" i="1"/>
  <c r="AF26" i="1"/>
  <c r="R26" i="1"/>
  <c r="AG26" i="1"/>
  <c r="AH26" i="1"/>
  <c r="L26" i="1"/>
  <c r="M26" i="1"/>
  <c r="N26" i="1"/>
  <c r="Q26" i="1"/>
  <c r="S26" i="1"/>
  <c r="AI26" i="1"/>
  <c r="AJ26" i="1"/>
  <c r="T26" i="1"/>
  <c r="V26" i="1"/>
  <c r="X26" i="1"/>
  <c r="AA26" i="1"/>
  <c r="I27" i="1"/>
  <c r="K27" i="1"/>
  <c r="AC27" i="1"/>
  <c r="AD27" i="1"/>
  <c r="AE27" i="1"/>
  <c r="AF27" i="1"/>
  <c r="R27" i="1"/>
  <c r="AG27" i="1"/>
  <c r="AH27" i="1"/>
  <c r="L27" i="1"/>
  <c r="M27" i="1"/>
  <c r="N27" i="1"/>
  <c r="Q27" i="1"/>
  <c r="S27" i="1"/>
  <c r="AI27" i="1"/>
  <c r="AJ27" i="1"/>
  <c r="T27" i="1"/>
  <c r="V27" i="1"/>
  <c r="X27" i="1"/>
  <c r="AA27" i="1"/>
  <c r="I28" i="1"/>
  <c r="K28" i="1"/>
  <c r="AC28" i="1"/>
  <c r="AD28" i="1"/>
  <c r="AE28" i="1"/>
  <c r="AF28" i="1"/>
  <c r="R28" i="1"/>
  <c r="AG28" i="1"/>
  <c r="AH28" i="1"/>
  <c r="L28" i="1"/>
  <c r="M28" i="1"/>
  <c r="N28" i="1"/>
  <c r="Q28" i="1"/>
  <c r="S28" i="1"/>
  <c r="AI28" i="1"/>
  <c r="AJ28" i="1"/>
  <c r="T28" i="1"/>
  <c r="V28" i="1"/>
  <c r="X28" i="1"/>
  <c r="AA28" i="1"/>
  <c r="I29" i="1"/>
  <c r="K29" i="1"/>
  <c r="AC29" i="1"/>
  <c r="AD29" i="1"/>
  <c r="AE29" i="1"/>
  <c r="AF29" i="1"/>
  <c r="R29" i="1"/>
  <c r="AG29" i="1"/>
  <c r="AH29" i="1"/>
  <c r="L29" i="1"/>
  <c r="M29" i="1"/>
  <c r="N29" i="1"/>
  <c r="Q29" i="1"/>
  <c r="S29" i="1"/>
  <c r="AI29" i="1"/>
  <c r="AJ29" i="1"/>
  <c r="T29" i="1"/>
  <c r="V29" i="1"/>
  <c r="X29" i="1"/>
  <c r="AA29" i="1"/>
  <c r="I30" i="1"/>
  <c r="K30" i="1"/>
  <c r="AC30" i="1"/>
  <c r="AD30" i="1"/>
  <c r="AE30" i="1"/>
  <c r="AF30" i="1"/>
  <c r="R30" i="1"/>
  <c r="AG30" i="1"/>
  <c r="AH30" i="1"/>
  <c r="L30" i="1"/>
  <c r="M30" i="1"/>
  <c r="N30" i="1"/>
  <c r="Q30" i="1"/>
  <c r="S30" i="1"/>
  <c r="AI30" i="1"/>
  <c r="AJ30" i="1"/>
  <c r="T30" i="1"/>
  <c r="V30" i="1"/>
  <c r="X30" i="1"/>
  <c r="AA30" i="1"/>
  <c r="I31" i="1"/>
  <c r="K31" i="1"/>
  <c r="AC31" i="1"/>
  <c r="AD31" i="1"/>
  <c r="AE31" i="1"/>
  <c r="AF31" i="1"/>
  <c r="R31" i="1"/>
  <c r="AG31" i="1"/>
  <c r="AH31" i="1"/>
  <c r="L31" i="1"/>
  <c r="M31" i="1"/>
  <c r="N31" i="1"/>
  <c r="Q31" i="1"/>
  <c r="S31" i="1"/>
  <c r="AI31" i="1"/>
  <c r="AJ31" i="1"/>
  <c r="T31" i="1"/>
  <c r="V31" i="1"/>
  <c r="X31" i="1"/>
  <c r="AA31" i="1"/>
  <c r="I32" i="1"/>
  <c r="K32" i="1"/>
  <c r="AC32" i="1"/>
  <c r="AD32" i="1"/>
  <c r="AE32" i="1"/>
  <c r="AF32" i="1"/>
  <c r="R32" i="1"/>
  <c r="AG32" i="1"/>
  <c r="AH32" i="1"/>
  <c r="L32" i="1"/>
  <c r="M32" i="1"/>
  <c r="N32" i="1"/>
  <c r="Q32" i="1"/>
  <c r="S32" i="1"/>
  <c r="AI32" i="1"/>
  <c r="AJ32" i="1"/>
  <c r="T32" i="1"/>
  <c r="V32" i="1"/>
  <c r="X32" i="1"/>
  <c r="AA32" i="1"/>
  <c r="I33" i="1"/>
  <c r="K33" i="1"/>
  <c r="AC33" i="1"/>
  <c r="AD33" i="1"/>
  <c r="AE33" i="1"/>
  <c r="AF33" i="1"/>
  <c r="R33" i="1"/>
  <c r="AG33" i="1"/>
  <c r="AH33" i="1"/>
  <c r="L33" i="1"/>
  <c r="M33" i="1"/>
  <c r="N33" i="1"/>
  <c r="Q33" i="1"/>
  <c r="S33" i="1"/>
  <c r="AI33" i="1"/>
  <c r="AJ33" i="1"/>
  <c r="T33" i="1"/>
  <c r="V33" i="1"/>
  <c r="X33" i="1"/>
  <c r="AA33" i="1"/>
  <c r="H36" i="1"/>
  <c r="I36" i="1"/>
  <c r="K36" i="1"/>
  <c r="AC36" i="1"/>
  <c r="AD36" i="1"/>
  <c r="AE36" i="1"/>
  <c r="AF36" i="1"/>
  <c r="R36" i="1"/>
  <c r="AG36" i="1"/>
  <c r="AH36" i="1"/>
  <c r="L36" i="1"/>
  <c r="M36" i="1"/>
  <c r="N36" i="1"/>
  <c r="Q36" i="1"/>
  <c r="S36" i="1"/>
  <c r="AI36" i="1"/>
  <c r="AJ36" i="1"/>
  <c r="T36" i="1"/>
  <c r="V36" i="1"/>
  <c r="X36" i="1"/>
  <c r="AA36" i="1"/>
  <c r="H37" i="1"/>
  <c r="I37" i="1"/>
  <c r="K37" i="1"/>
  <c r="AC37" i="1"/>
  <c r="AD37" i="1"/>
  <c r="AE37" i="1"/>
  <c r="AF37" i="1"/>
  <c r="R37" i="1"/>
  <c r="AG37" i="1"/>
  <c r="AH37" i="1"/>
  <c r="L37" i="1"/>
  <c r="M37" i="1"/>
  <c r="N37" i="1"/>
  <c r="Q37" i="1"/>
  <c r="S37" i="1"/>
  <c r="AI37" i="1"/>
  <c r="AJ37" i="1"/>
  <c r="T37" i="1"/>
  <c r="V37" i="1"/>
  <c r="X37" i="1"/>
  <c r="AA37" i="1"/>
  <c r="H38" i="1"/>
  <c r="I38" i="1"/>
  <c r="K38" i="1"/>
  <c r="AC38" i="1"/>
  <c r="AD38" i="1"/>
  <c r="AE38" i="1"/>
  <c r="AF38" i="1"/>
  <c r="R38" i="1"/>
  <c r="AG38" i="1"/>
  <c r="AH38" i="1"/>
  <c r="L38" i="1"/>
  <c r="M38" i="1"/>
  <c r="N38" i="1"/>
  <c r="Q38" i="1"/>
  <c r="S38" i="1"/>
  <c r="AI38" i="1"/>
  <c r="AJ38" i="1"/>
  <c r="T38" i="1"/>
  <c r="V38" i="1"/>
  <c r="X38" i="1"/>
  <c r="AA38" i="1"/>
  <c r="H39" i="1"/>
  <c r="I39" i="1"/>
  <c r="K39" i="1"/>
  <c r="AC39" i="1"/>
  <c r="AD39" i="1"/>
  <c r="AE39" i="1"/>
  <c r="AF39" i="1"/>
  <c r="R39" i="1"/>
  <c r="AG39" i="1"/>
  <c r="AH39" i="1"/>
  <c r="L39" i="1"/>
  <c r="M39" i="1"/>
  <c r="N39" i="1"/>
  <c r="Q39" i="1"/>
  <c r="S39" i="1"/>
  <c r="AI39" i="1"/>
  <c r="AJ39" i="1"/>
  <c r="T39" i="1"/>
  <c r="V39" i="1"/>
  <c r="X39" i="1"/>
  <c r="AA39" i="1"/>
  <c r="H40" i="1"/>
  <c r="I40" i="1"/>
  <c r="K40" i="1"/>
  <c r="AC40" i="1"/>
  <c r="AD40" i="1"/>
  <c r="AE40" i="1"/>
  <c r="AF40" i="1"/>
  <c r="R40" i="1"/>
  <c r="AG40" i="1"/>
  <c r="AH40" i="1"/>
  <c r="L40" i="1"/>
  <c r="M40" i="1"/>
  <c r="N40" i="1"/>
  <c r="Q40" i="1"/>
  <c r="S40" i="1"/>
  <c r="AI40" i="1"/>
  <c r="AJ40" i="1"/>
  <c r="T40" i="1"/>
  <c r="V40" i="1"/>
  <c r="X40" i="1"/>
  <c r="AA40" i="1"/>
  <c r="H43" i="1"/>
  <c r="I43" i="1"/>
  <c r="K43" i="1"/>
  <c r="AC43" i="1"/>
  <c r="AD43" i="1"/>
  <c r="AE43" i="1"/>
  <c r="AF43" i="1"/>
  <c r="R43" i="1"/>
  <c r="AG43" i="1"/>
  <c r="AH43" i="1"/>
  <c r="L43" i="1"/>
  <c r="M43" i="1"/>
  <c r="N43" i="1"/>
  <c r="Q43" i="1"/>
  <c r="S43" i="1"/>
  <c r="AI43" i="1"/>
  <c r="AJ43" i="1"/>
  <c r="T43" i="1"/>
  <c r="V43" i="1"/>
  <c r="X43" i="1"/>
  <c r="AA43" i="1"/>
  <c r="H44" i="1"/>
  <c r="I44" i="1"/>
  <c r="K44" i="1"/>
  <c r="AC44" i="1"/>
  <c r="AD44" i="1"/>
  <c r="AE44" i="1"/>
  <c r="AF44" i="1"/>
  <c r="R44" i="1"/>
  <c r="AG44" i="1"/>
  <c r="AH44" i="1"/>
  <c r="L44" i="1"/>
  <c r="M44" i="1"/>
  <c r="N44" i="1"/>
  <c r="Q44" i="1"/>
  <c r="S44" i="1"/>
  <c r="AI44" i="1"/>
  <c r="AJ44" i="1"/>
  <c r="T44" i="1"/>
  <c r="V44" i="1"/>
  <c r="X44" i="1"/>
  <c r="AA44" i="1"/>
  <c r="H45" i="1"/>
  <c r="I45" i="1"/>
  <c r="K45" i="1"/>
  <c r="AC45" i="1"/>
  <c r="AD45" i="1"/>
  <c r="AE45" i="1"/>
  <c r="AF45" i="1"/>
  <c r="R45" i="1"/>
  <c r="AG45" i="1"/>
  <c r="AH45" i="1"/>
  <c r="L45" i="1"/>
  <c r="M45" i="1"/>
  <c r="N45" i="1"/>
  <c r="Q45" i="1"/>
  <c r="S45" i="1"/>
  <c r="AI45" i="1"/>
  <c r="AJ45" i="1"/>
  <c r="T45" i="1"/>
  <c r="V45" i="1"/>
  <c r="X45" i="1"/>
  <c r="AA45" i="1"/>
  <c r="H46" i="1"/>
  <c r="I46" i="1"/>
  <c r="K46" i="1"/>
  <c r="AC46" i="1"/>
  <c r="AD46" i="1"/>
  <c r="AE46" i="1"/>
  <c r="AF46" i="1"/>
  <c r="R46" i="1"/>
  <c r="AG46" i="1"/>
  <c r="AH46" i="1"/>
  <c r="L46" i="1"/>
  <c r="M46" i="1"/>
  <c r="N46" i="1"/>
  <c r="Q46" i="1"/>
  <c r="S46" i="1"/>
  <c r="AI46" i="1"/>
  <c r="AJ46" i="1"/>
  <c r="T46" i="1"/>
  <c r="V46" i="1"/>
  <c r="X46" i="1"/>
  <c r="AA46" i="1"/>
  <c r="H47" i="1"/>
  <c r="I47" i="1"/>
  <c r="K47" i="1"/>
  <c r="AC47" i="1"/>
  <c r="AD47" i="1"/>
  <c r="AE47" i="1"/>
  <c r="AF47" i="1"/>
  <c r="R47" i="1"/>
  <c r="AG47" i="1"/>
  <c r="AH47" i="1"/>
  <c r="L47" i="1"/>
  <c r="M47" i="1"/>
  <c r="N47" i="1"/>
  <c r="Q47" i="1"/>
  <c r="S47" i="1"/>
  <c r="AI47" i="1"/>
  <c r="AJ47" i="1"/>
  <c r="T47" i="1"/>
  <c r="V47" i="1"/>
  <c r="X47" i="1"/>
  <c r="AA47" i="1"/>
  <c r="H48" i="1"/>
  <c r="I48" i="1"/>
  <c r="K48" i="1"/>
  <c r="AC48" i="1"/>
  <c r="AD48" i="1"/>
  <c r="AE48" i="1"/>
  <c r="AF48" i="1"/>
  <c r="R48" i="1"/>
  <c r="AG48" i="1"/>
  <c r="AH48" i="1"/>
  <c r="L48" i="1"/>
  <c r="M48" i="1"/>
  <c r="N48" i="1"/>
  <c r="Q48" i="1"/>
  <c r="S48" i="1"/>
  <c r="AI48" i="1"/>
  <c r="AJ48" i="1"/>
  <c r="T48" i="1"/>
  <c r="V48" i="1"/>
  <c r="X48" i="1"/>
  <c r="AA48" i="1"/>
  <c r="H49" i="1"/>
  <c r="I49" i="1"/>
  <c r="K49" i="1"/>
  <c r="AC49" i="1"/>
  <c r="AD49" i="1"/>
  <c r="AE49" i="1"/>
  <c r="AF49" i="1"/>
  <c r="R49" i="1"/>
  <c r="AG49" i="1"/>
  <c r="AH49" i="1"/>
  <c r="L49" i="1"/>
  <c r="M49" i="1"/>
  <c r="N49" i="1"/>
  <c r="Q49" i="1"/>
  <c r="S49" i="1"/>
  <c r="AI49" i="1"/>
  <c r="AJ49" i="1"/>
  <c r="T49" i="1"/>
  <c r="V49" i="1"/>
  <c r="X49" i="1"/>
  <c r="AA49" i="1"/>
  <c r="H50" i="1"/>
  <c r="I50" i="1"/>
  <c r="K50" i="1"/>
  <c r="AC50" i="1"/>
  <c r="AD50" i="1"/>
  <c r="AE50" i="1"/>
  <c r="AF50" i="1"/>
  <c r="R50" i="1"/>
  <c r="AG50" i="1"/>
  <c r="AH50" i="1"/>
  <c r="L50" i="1"/>
  <c r="M50" i="1"/>
  <c r="N50" i="1"/>
  <c r="Q50" i="1"/>
  <c r="S50" i="1"/>
  <c r="AI50" i="1"/>
  <c r="AJ50" i="1"/>
  <c r="T50" i="1"/>
  <c r="V50" i="1"/>
  <c r="X50" i="1"/>
  <c r="AA50" i="1"/>
  <c r="H51" i="1"/>
  <c r="I51" i="1"/>
  <c r="K51" i="1"/>
  <c r="AC51" i="1"/>
  <c r="AD51" i="1"/>
  <c r="AE51" i="1"/>
  <c r="AF51" i="1"/>
  <c r="R51" i="1"/>
  <c r="AG51" i="1"/>
  <c r="AH51" i="1"/>
  <c r="L51" i="1"/>
  <c r="M51" i="1"/>
  <c r="N51" i="1"/>
  <c r="Q51" i="1"/>
  <c r="S51" i="1"/>
  <c r="AI51" i="1"/>
  <c r="AJ51" i="1"/>
  <c r="T51" i="1"/>
  <c r="V51" i="1"/>
  <c r="X51" i="1"/>
  <c r="AA51" i="1"/>
  <c r="H52" i="1"/>
  <c r="I52" i="1"/>
  <c r="K52" i="1"/>
  <c r="AC52" i="1"/>
  <c r="AD52" i="1"/>
  <c r="AE52" i="1"/>
  <c r="AF52" i="1"/>
  <c r="R52" i="1"/>
  <c r="AG52" i="1"/>
  <c r="AH52" i="1"/>
  <c r="L52" i="1"/>
  <c r="M52" i="1"/>
  <c r="N52" i="1"/>
  <c r="Q52" i="1"/>
  <c r="S52" i="1"/>
  <c r="AI52" i="1"/>
  <c r="AJ52" i="1"/>
  <c r="T52" i="1"/>
  <c r="V52" i="1"/>
  <c r="X52" i="1"/>
  <c r="AA52" i="1"/>
  <c r="H53" i="1"/>
  <c r="I53" i="1"/>
  <c r="K53" i="1"/>
  <c r="AC53" i="1"/>
  <c r="AD53" i="1"/>
  <c r="AE53" i="1"/>
  <c r="AF53" i="1"/>
  <c r="R53" i="1"/>
  <c r="AG53" i="1"/>
  <c r="AH53" i="1"/>
  <c r="L53" i="1"/>
  <c r="M53" i="1"/>
  <c r="N53" i="1"/>
  <c r="Q53" i="1"/>
  <c r="S53" i="1"/>
  <c r="AI53" i="1"/>
  <c r="AJ53" i="1"/>
  <c r="T53" i="1"/>
  <c r="V53" i="1"/>
  <c r="X53" i="1"/>
  <c r="AA53" i="1"/>
  <c r="H54" i="1"/>
  <c r="I54" i="1"/>
  <c r="K54" i="1"/>
  <c r="AC54" i="1"/>
  <c r="AD54" i="1"/>
  <c r="AE54" i="1"/>
  <c r="AF54" i="1"/>
  <c r="R54" i="1"/>
  <c r="AG54" i="1"/>
  <c r="AH54" i="1"/>
  <c r="L54" i="1"/>
  <c r="M54" i="1"/>
  <c r="N54" i="1"/>
  <c r="Q54" i="1"/>
  <c r="S54" i="1"/>
  <c r="AI54" i="1"/>
  <c r="AJ54" i="1"/>
  <c r="T54" i="1"/>
  <c r="V54" i="1"/>
  <c r="X54" i="1"/>
  <c r="AA54" i="1"/>
  <c r="H56" i="1"/>
  <c r="I56" i="1"/>
  <c r="J56" i="1"/>
  <c r="N56" i="1"/>
  <c r="O56" i="1" a="1"/>
  <c r="O56" i="1"/>
  <c r="V56" i="1"/>
  <c r="X56" i="1"/>
  <c r="AA56" i="1"/>
  <c r="H57" i="1"/>
  <c r="I57" i="1"/>
  <c r="J57" i="1"/>
  <c r="N57" i="1"/>
  <c r="O57" i="1" a="1"/>
  <c r="O57" i="1"/>
  <c r="V57" i="1"/>
  <c r="X57" i="1"/>
  <c r="AA57" i="1"/>
  <c r="V58" i="1"/>
  <c r="X58" i="1"/>
  <c r="I59" i="1"/>
  <c r="K59" i="1"/>
  <c r="AC59" i="1"/>
  <c r="AD59" i="1"/>
  <c r="AE59" i="1"/>
  <c r="AF59" i="1"/>
  <c r="R59" i="1"/>
  <c r="AG59" i="1"/>
  <c r="AH59" i="1"/>
  <c r="L59" i="1"/>
  <c r="M59" i="1"/>
  <c r="N59" i="1"/>
  <c r="Q59" i="1"/>
  <c r="S59" i="1"/>
  <c r="AI59" i="1"/>
  <c r="AJ59" i="1"/>
  <c r="T59" i="1"/>
  <c r="V59" i="1"/>
  <c r="X59" i="1"/>
  <c r="AA59" i="1"/>
  <c r="I60" i="1"/>
  <c r="K60" i="1"/>
  <c r="AC60" i="1"/>
  <c r="AD60" i="1"/>
  <c r="AE60" i="1"/>
  <c r="AF60" i="1"/>
  <c r="R60" i="1"/>
  <c r="AG60" i="1"/>
  <c r="AH60" i="1"/>
  <c r="L60" i="1"/>
  <c r="M60" i="1"/>
  <c r="N60" i="1"/>
  <c r="Q60" i="1"/>
  <c r="S60" i="1"/>
  <c r="AI60" i="1"/>
  <c r="AJ60" i="1"/>
  <c r="T60" i="1"/>
  <c r="V60" i="1"/>
  <c r="X60" i="1"/>
  <c r="AA60" i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A7" i="2"/>
  <c r="B7" i="2"/>
  <c r="A8" i="2"/>
  <c r="B8" i="2"/>
  <c r="C8" i="2"/>
  <c r="D8" i="2"/>
  <c r="E8" i="2"/>
  <c r="F8" i="2"/>
  <c r="G8" i="2"/>
  <c r="H8" i="2"/>
  <c r="I8" i="2"/>
  <c r="J8" i="2"/>
  <c r="K8" i="2"/>
  <c r="M8" i="2"/>
  <c r="N8" i="2"/>
  <c r="P8" i="2"/>
  <c r="Q8" i="2"/>
  <c r="T8" i="2"/>
  <c r="V8" i="2"/>
  <c r="X8" i="2"/>
  <c r="Z8" i="2"/>
  <c r="AB8" i="2"/>
  <c r="AF8" i="2"/>
  <c r="AH8" i="2"/>
  <c r="A9" i="2"/>
  <c r="B9" i="2"/>
  <c r="C9" i="2"/>
  <c r="D9" i="2"/>
  <c r="E9" i="2"/>
  <c r="F9" i="2"/>
  <c r="G9" i="2"/>
  <c r="H9" i="2"/>
  <c r="I9" i="2"/>
  <c r="J9" i="2"/>
  <c r="K9" i="2"/>
  <c r="M9" i="2"/>
  <c r="N9" i="2"/>
  <c r="P9" i="2"/>
  <c r="Q9" i="2"/>
  <c r="T9" i="2"/>
  <c r="V9" i="2"/>
  <c r="X9" i="2"/>
  <c r="Z9" i="2"/>
  <c r="AB9" i="2"/>
  <c r="AF9" i="2"/>
  <c r="AH9" i="2"/>
  <c r="A10" i="2"/>
  <c r="B10" i="2"/>
  <c r="C10" i="2"/>
  <c r="D10" i="2"/>
  <c r="E10" i="2"/>
  <c r="F10" i="2"/>
  <c r="G10" i="2"/>
  <c r="H10" i="2"/>
  <c r="I10" i="2"/>
  <c r="J10" i="2"/>
  <c r="K10" i="2"/>
  <c r="M10" i="2"/>
  <c r="N10" i="2"/>
  <c r="P10" i="2"/>
  <c r="Q10" i="2"/>
  <c r="T10" i="2"/>
  <c r="V10" i="2"/>
  <c r="X10" i="2"/>
  <c r="Z10" i="2"/>
  <c r="AB10" i="2"/>
  <c r="AF10" i="2"/>
  <c r="AH10" i="2"/>
  <c r="A11" i="2"/>
  <c r="B11" i="2"/>
  <c r="C11" i="2"/>
  <c r="D11" i="2"/>
  <c r="E11" i="2"/>
  <c r="F11" i="2"/>
  <c r="G11" i="2"/>
  <c r="H11" i="2"/>
  <c r="I11" i="2"/>
  <c r="J11" i="2"/>
  <c r="K11" i="2"/>
  <c r="M11" i="2"/>
  <c r="N11" i="2"/>
  <c r="P11" i="2"/>
  <c r="Q11" i="2"/>
  <c r="T11" i="2"/>
  <c r="V11" i="2"/>
  <c r="X11" i="2"/>
  <c r="Z11" i="2"/>
  <c r="AB11" i="2"/>
  <c r="AF11" i="2"/>
  <c r="AH11" i="2"/>
  <c r="A12" i="2"/>
  <c r="B12" i="2"/>
  <c r="C12" i="2"/>
  <c r="D12" i="2"/>
  <c r="E12" i="2"/>
  <c r="F12" i="2"/>
  <c r="G12" i="2"/>
  <c r="H12" i="2"/>
  <c r="I12" i="2"/>
  <c r="J12" i="2"/>
  <c r="K12" i="2"/>
  <c r="M12" i="2"/>
  <c r="N12" i="2"/>
  <c r="P12" i="2"/>
  <c r="Q12" i="2"/>
  <c r="T12" i="2"/>
  <c r="V12" i="2"/>
  <c r="X12" i="2"/>
  <c r="Z12" i="2"/>
  <c r="AB12" i="2"/>
  <c r="AF12" i="2"/>
  <c r="AH12" i="2"/>
  <c r="A13" i="2"/>
  <c r="B13" i="2"/>
  <c r="C13" i="2"/>
  <c r="D13" i="2"/>
  <c r="E13" i="2"/>
  <c r="F13" i="2"/>
  <c r="G13" i="2"/>
  <c r="H13" i="2"/>
  <c r="I13" i="2"/>
  <c r="J13" i="2"/>
  <c r="K13" i="2"/>
  <c r="M13" i="2"/>
  <c r="N13" i="2"/>
  <c r="P13" i="2"/>
  <c r="Q13" i="2"/>
  <c r="T13" i="2"/>
  <c r="V13" i="2"/>
  <c r="X13" i="2"/>
  <c r="Z13" i="2"/>
  <c r="AB13" i="2"/>
  <c r="AF13" i="2"/>
  <c r="AH13" i="2"/>
  <c r="A14" i="2"/>
  <c r="B14" i="2"/>
  <c r="C14" i="2"/>
  <c r="D14" i="2"/>
  <c r="E14" i="2"/>
  <c r="F14" i="2"/>
  <c r="G14" i="2"/>
  <c r="H14" i="2"/>
  <c r="I14" i="2"/>
  <c r="J14" i="2"/>
  <c r="K14" i="2"/>
  <c r="M14" i="2"/>
  <c r="N14" i="2"/>
  <c r="P14" i="2"/>
  <c r="Q14" i="2"/>
  <c r="T14" i="2"/>
  <c r="V14" i="2"/>
  <c r="X14" i="2"/>
  <c r="Z14" i="2"/>
  <c r="AB14" i="2"/>
  <c r="AF14" i="2"/>
  <c r="AH14" i="2"/>
  <c r="A15" i="2"/>
  <c r="B15" i="2"/>
  <c r="C15" i="2"/>
  <c r="D15" i="2"/>
  <c r="E15" i="2"/>
  <c r="F15" i="2"/>
  <c r="G15" i="2"/>
  <c r="H15" i="2"/>
  <c r="I15" i="2"/>
  <c r="J15" i="2"/>
  <c r="K15" i="2"/>
  <c r="M15" i="2"/>
  <c r="N15" i="2"/>
  <c r="P15" i="2"/>
  <c r="Q15" i="2"/>
  <c r="T15" i="2"/>
  <c r="V15" i="2"/>
  <c r="X15" i="2"/>
  <c r="Z15" i="2"/>
  <c r="AB15" i="2"/>
  <c r="AF15" i="2"/>
  <c r="AH15" i="2"/>
  <c r="A16" i="2"/>
  <c r="B16" i="2"/>
  <c r="C16" i="2"/>
  <c r="D16" i="2"/>
  <c r="E16" i="2"/>
  <c r="F16" i="2"/>
  <c r="G16" i="2"/>
  <c r="H16" i="2"/>
  <c r="I16" i="2"/>
  <c r="J16" i="2"/>
  <c r="K16" i="2"/>
  <c r="M16" i="2"/>
  <c r="N16" i="2"/>
  <c r="P16" i="2"/>
  <c r="Q16" i="2"/>
  <c r="T16" i="2"/>
  <c r="V16" i="2"/>
  <c r="X16" i="2"/>
  <c r="Z16" i="2"/>
  <c r="AB16" i="2"/>
  <c r="AF16" i="2"/>
  <c r="AH16" i="2"/>
  <c r="A17" i="2"/>
  <c r="B17" i="2"/>
  <c r="C17" i="2"/>
  <c r="D17" i="2"/>
  <c r="E17" i="2"/>
  <c r="F17" i="2"/>
  <c r="G17" i="2"/>
  <c r="H17" i="2"/>
  <c r="I17" i="2"/>
  <c r="J17" i="2"/>
  <c r="K17" i="2"/>
  <c r="M17" i="2"/>
  <c r="N17" i="2"/>
  <c r="P17" i="2"/>
  <c r="Q17" i="2"/>
  <c r="T17" i="2"/>
  <c r="V17" i="2"/>
  <c r="X17" i="2"/>
  <c r="Z17" i="2"/>
  <c r="AB17" i="2"/>
  <c r="AF17" i="2"/>
  <c r="AH17" i="2"/>
  <c r="A18" i="2"/>
  <c r="B18" i="2"/>
  <c r="C18" i="2"/>
  <c r="D18" i="2"/>
  <c r="E18" i="2"/>
  <c r="F18" i="2"/>
  <c r="G18" i="2"/>
  <c r="H18" i="2"/>
  <c r="I18" i="2"/>
  <c r="J18" i="2"/>
  <c r="K18" i="2"/>
  <c r="M18" i="2"/>
  <c r="N18" i="2"/>
  <c r="P18" i="2"/>
  <c r="Q18" i="2"/>
  <c r="T18" i="2"/>
  <c r="V18" i="2"/>
  <c r="X18" i="2"/>
  <c r="Z18" i="2"/>
  <c r="AB18" i="2"/>
  <c r="AF18" i="2"/>
  <c r="AH18" i="2"/>
  <c r="A19" i="2"/>
  <c r="B19" i="2"/>
  <c r="C19" i="2"/>
  <c r="D19" i="2"/>
  <c r="E19" i="2"/>
  <c r="F19" i="2"/>
  <c r="G19" i="2"/>
  <c r="H19" i="2"/>
  <c r="I19" i="2"/>
  <c r="J19" i="2"/>
  <c r="K19" i="2"/>
  <c r="M19" i="2"/>
  <c r="N19" i="2"/>
  <c r="P19" i="2"/>
  <c r="Q19" i="2"/>
  <c r="T19" i="2"/>
  <c r="V19" i="2"/>
  <c r="X19" i="2"/>
  <c r="Z19" i="2"/>
  <c r="AB19" i="2"/>
  <c r="AF19" i="2"/>
  <c r="AH19" i="2"/>
  <c r="A20" i="2"/>
  <c r="B20" i="2"/>
  <c r="C20" i="2"/>
  <c r="D20" i="2"/>
  <c r="E20" i="2"/>
  <c r="F20" i="2"/>
  <c r="G20" i="2"/>
  <c r="H20" i="2"/>
  <c r="I20" i="2"/>
  <c r="J20" i="2"/>
  <c r="K20" i="2"/>
  <c r="M20" i="2"/>
  <c r="N20" i="2"/>
  <c r="P20" i="2"/>
  <c r="Q20" i="2"/>
  <c r="T20" i="2"/>
  <c r="V20" i="2"/>
  <c r="X20" i="2"/>
  <c r="Z20" i="2"/>
  <c r="AB20" i="2"/>
  <c r="AF20" i="2"/>
  <c r="AH20" i="2"/>
  <c r="A21" i="2"/>
  <c r="B21" i="2"/>
  <c r="C21" i="2"/>
  <c r="D21" i="2"/>
  <c r="E21" i="2"/>
  <c r="F21" i="2"/>
  <c r="G21" i="2"/>
  <c r="H21" i="2"/>
  <c r="I21" i="2"/>
  <c r="J21" i="2"/>
  <c r="K21" i="2"/>
  <c r="M21" i="2"/>
  <c r="N21" i="2"/>
  <c r="P21" i="2"/>
  <c r="Q21" i="2"/>
  <c r="T21" i="2"/>
  <c r="V21" i="2"/>
  <c r="X21" i="2"/>
  <c r="Z21" i="2"/>
  <c r="AB21" i="2"/>
  <c r="AF21" i="2"/>
  <c r="AH21" i="2"/>
  <c r="A22" i="2"/>
  <c r="B22" i="2"/>
  <c r="C22" i="2"/>
  <c r="D22" i="2"/>
  <c r="E22" i="2"/>
  <c r="F22" i="2"/>
  <c r="G22" i="2"/>
  <c r="H22" i="2"/>
  <c r="I22" i="2"/>
  <c r="J22" i="2"/>
  <c r="K22" i="2"/>
  <c r="M22" i="2"/>
  <c r="N22" i="2"/>
  <c r="P22" i="2"/>
  <c r="Q22" i="2"/>
  <c r="T22" i="2"/>
  <c r="V22" i="2"/>
  <c r="X22" i="2"/>
  <c r="Z22" i="2"/>
  <c r="AB22" i="2"/>
  <c r="AF22" i="2"/>
  <c r="AH22" i="2"/>
  <c r="A23" i="2"/>
  <c r="B23" i="2"/>
  <c r="C23" i="2"/>
  <c r="D23" i="2"/>
  <c r="E23" i="2"/>
  <c r="F23" i="2"/>
  <c r="G23" i="2"/>
  <c r="H23" i="2"/>
  <c r="I23" i="2"/>
  <c r="J23" i="2"/>
  <c r="K23" i="2"/>
  <c r="M23" i="2"/>
  <c r="N23" i="2"/>
  <c r="P23" i="2"/>
  <c r="Q23" i="2"/>
  <c r="T23" i="2"/>
  <c r="V23" i="2"/>
  <c r="X23" i="2"/>
  <c r="Z23" i="2"/>
  <c r="AB23" i="2"/>
  <c r="AF23" i="2"/>
  <c r="AH23" i="2"/>
  <c r="A24" i="2"/>
  <c r="B24" i="2"/>
  <c r="C24" i="2"/>
  <c r="D24" i="2"/>
  <c r="E24" i="2"/>
  <c r="F24" i="2"/>
  <c r="G24" i="2"/>
  <c r="H24" i="2"/>
  <c r="I24" i="2"/>
  <c r="J24" i="2"/>
  <c r="K24" i="2"/>
  <c r="M24" i="2"/>
  <c r="N24" i="2"/>
  <c r="P24" i="2"/>
  <c r="Q24" i="2"/>
  <c r="T24" i="2"/>
  <c r="V24" i="2"/>
  <c r="X24" i="2"/>
  <c r="Z24" i="2"/>
  <c r="AB24" i="2"/>
  <c r="AF24" i="2"/>
  <c r="AH24" i="2"/>
  <c r="A25" i="2"/>
  <c r="B25" i="2"/>
  <c r="C25" i="2"/>
  <c r="D25" i="2"/>
  <c r="E25" i="2"/>
  <c r="F25" i="2"/>
  <c r="G25" i="2"/>
  <c r="H25" i="2"/>
  <c r="I25" i="2"/>
  <c r="J25" i="2"/>
  <c r="K25" i="2"/>
  <c r="M25" i="2"/>
  <c r="N25" i="2"/>
  <c r="P25" i="2"/>
  <c r="Q25" i="2"/>
  <c r="T25" i="2"/>
  <c r="V25" i="2"/>
  <c r="X25" i="2"/>
  <c r="Z25" i="2"/>
  <c r="AB25" i="2"/>
  <c r="AF25" i="2"/>
  <c r="AH25" i="2"/>
  <c r="A26" i="2"/>
  <c r="B26" i="2"/>
  <c r="C26" i="2"/>
  <c r="D26" i="2"/>
  <c r="E26" i="2"/>
  <c r="F26" i="2"/>
  <c r="G26" i="2"/>
  <c r="H26" i="2"/>
  <c r="I26" i="2"/>
  <c r="J26" i="2"/>
  <c r="K26" i="2"/>
  <c r="M26" i="2"/>
  <c r="N26" i="2"/>
  <c r="P26" i="2"/>
  <c r="Q26" i="2"/>
  <c r="T26" i="2"/>
  <c r="V26" i="2"/>
  <c r="X26" i="2"/>
  <c r="Z26" i="2"/>
  <c r="AB26" i="2"/>
  <c r="AF26" i="2"/>
  <c r="AH26" i="2"/>
  <c r="A27" i="2"/>
  <c r="B27" i="2"/>
  <c r="C27" i="2"/>
  <c r="D27" i="2"/>
  <c r="E27" i="2"/>
  <c r="F27" i="2"/>
  <c r="G27" i="2"/>
  <c r="H27" i="2"/>
  <c r="I27" i="2"/>
  <c r="J27" i="2"/>
  <c r="K27" i="2"/>
  <c r="M27" i="2"/>
  <c r="N27" i="2"/>
  <c r="P27" i="2"/>
  <c r="Q27" i="2"/>
  <c r="T27" i="2"/>
  <c r="V27" i="2"/>
  <c r="X27" i="2"/>
  <c r="Z27" i="2"/>
  <c r="AB27" i="2"/>
  <c r="AF27" i="2"/>
  <c r="AH27" i="2"/>
  <c r="A28" i="2"/>
  <c r="B28" i="2"/>
  <c r="C28" i="2"/>
  <c r="D28" i="2"/>
  <c r="E28" i="2"/>
  <c r="F28" i="2"/>
  <c r="G28" i="2"/>
  <c r="H28" i="2"/>
  <c r="I28" i="2"/>
  <c r="J28" i="2"/>
  <c r="K28" i="2"/>
  <c r="M28" i="2"/>
  <c r="N28" i="2"/>
  <c r="P28" i="2"/>
  <c r="Q28" i="2"/>
  <c r="T28" i="2"/>
  <c r="V28" i="2"/>
  <c r="X28" i="2"/>
  <c r="Z28" i="2"/>
  <c r="AB28" i="2"/>
  <c r="AF28" i="2"/>
  <c r="AH28" i="2"/>
  <c r="A29" i="2"/>
  <c r="B29" i="2"/>
  <c r="C29" i="2"/>
  <c r="D29" i="2"/>
  <c r="E29" i="2"/>
  <c r="F29" i="2"/>
  <c r="G29" i="2"/>
  <c r="H29" i="2"/>
  <c r="I29" i="2"/>
  <c r="J29" i="2"/>
  <c r="K29" i="2"/>
  <c r="M29" i="2"/>
  <c r="N29" i="2"/>
  <c r="P29" i="2"/>
  <c r="Q29" i="2"/>
  <c r="T29" i="2"/>
  <c r="V29" i="2"/>
  <c r="X29" i="2"/>
  <c r="Z29" i="2"/>
  <c r="AB29" i="2"/>
  <c r="AF29" i="2"/>
  <c r="AH29" i="2"/>
  <c r="A30" i="2"/>
  <c r="B30" i="2"/>
  <c r="C30" i="2"/>
  <c r="D30" i="2"/>
  <c r="E30" i="2"/>
  <c r="F30" i="2"/>
  <c r="G30" i="2"/>
  <c r="H30" i="2"/>
  <c r="I30" i="2"/>
  <c r="J30" i="2"/>
  <c r="K30" i="2"/>
  <c r="M30" i="2"/>
  <c r="N30" i="2"/>
  <c r="P30" i="2"/>
  <c r="Q30" i="2"/>
  <c r="T30" i="2"/>
  <c r="V30" i="2"/>
  <c r="X30" i="2"/>
  <c r="Z30" i="2"/>
  <c r="AB30" i="2"/>
  <c r="AF30" i="2"/>
  <c r="AH30" i="2"/>
  <c r="A31" i="2"/>
  <c r="B31" i="2"/>
  <c r="C31" i="2"/>
  <c r="D31" i="2"/>
  <c r="E31" i="2"/>
  <c r="F31" i="2"/>
  <c r="G31" i="2"/>
  <c r="H31" i="2"/>
  <c r="I31" i="2"/>
  <c r="J31" i="2"/>
  <c r="K31" i="2"/>
  <c r="M31" i="2"/>
  <c r="N31" i="2"/>
  <c r="P31" i="2"/>
  <c r="Q31" i="2"/>
  <c r="T31" i="2"/>
  <c r="V31" i="2"/>
  <c r="X31" i="2"/>
  <c r="Z31" i="2"/>
  <c r="AB31" i="2"/>
  <c r="AF31" i="2"/>
  <c r="AH31" i="2"/>
  <c r="A32" i="2"/>
  <c r="B32" i="2"/>
  <c r="C32" i="2"/>
  <c r="D32" i="2"/>
  <c r="E32" i="2"/>
  <c r="F32" i="2"/>
  <c r="G32" i="2"/>
  <c r="H32" i="2"/>
  <c r="I32" i="2"/>
  <c r="J32" i="2"/>
  <c r="K32" i="2"/>
  <c r="M32" i="2"/>
  <c r="N32" i="2"/>
  <c r="P32" i="2"/>
  <c r="Q32" i="2"/>
  <c r="T32" i="2"/>
  <c r="V32" i="2"/>
  <c r="X32" i="2"/>
  <c r="Z32" i="2"/>
  <c r="AB32" i="2"/>
  <c r="AF32" i="2"/>
  <c r="AH32" i="2"/>
  <c r="A33" i="2"/>
  <c r="B33" i="2"/>
  <c r="C33" i="2"/>
  <c r="D33" i="2"/>
  <c r="E33" i="2"/>
  <c r="F33" i="2"/>
  <c r="G33" i="2"/>
  <c r="H33" i="2"/>
  <c r="I33" i="2"/>
  <c r="J33" i="2"/>
  <c r="K33" i="2"/>
  <c r="M33" i="2"/>
  <c r="N33" i="2"/>
  <c r="P33" i="2"/>
  <c r="Q33" i="2"/>
  <c r="T33" i="2"/>
  <c r="V33" i="2"/>
  <c r="X33" i="2"/>
  <c r="Z33" i="2"/>
  <c r="AB33" i="2"/>
  <c r="AF33" i="2"/>
  <c r="AH33" i="2"/>
  <c r="T34" i="2"/>
  <c r="U34" i="2"/>
  <c r="V34" i="2"/>
  <c r="Z34" i="2"/>
  <c r="AA34" i="2"/>
  <c r="AB34" i="2"/>
  <c r="AF34" i="2"/>
  <c r="AH34" i="2"/>
  <c r="T35" i="2"/>
  <c r="V35" i="2"/>
  <c r="Z35" i="2"/>
  <c r="AB35" i="2"/>
  <c r="AF35" i="2"/>
  <c r="AH35" i="2"/>
  <c r="A37" i="2"/>
  <c r="B37" i="2"/>
  <c r="C37" i="2"/>
  <c r="D37" i="2"/>
  <c r="E37" i="2"/>
  <c r="F37" i="2"/>
  <c r="G37" i="2"/>
  <c r="H37" i="2"/>
  <c r="I37" i="2"/>
  <c r="J37" i="2"/>
  <c r="K37" i="2"/>
  <c r="M37" i="2"/>
  <c r="N37" i="2"/>
  <c r="P37" i="2"/>
  <c r="Q37" i="2"/>
  <c r="T37" i="2"/>
  <c r="Z37" i="2"/>
  <c r="AF37" i="2"/>
  <c r="A38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P38" i="2"/>
  <c r="Q38" i="2"/>
  <c r="T38" i="2"/>
  <c r="Z38" i="2"/>
  <c r="AF38" i="2"/>
  <c r="A39" i="2"/>
  <c r="B39" i="2"/>
  <c r="C39" i="2"/>
  <c r="D39" i="2"/>
  <c r="E39" i="2"/>
  <c r="F39" i="2"/>
  <c r="G39" i="2"/>
  <c r="H39" i="2"/>
  <c r="I39" i="2"/>
  <c r="J39" i="2"/>
  <c r="K39" i="2"/>
  <c r="M39" i="2"/>
  <c r="N39" i="2"/>
  <c r="P39" i="2"/>
  <c r="Q39" i="2"/>
  <c r="T39" i="2"/>
  <c r="Z39" i="2"/>
  <c r="AF39" i="2"/>
  <c r="A40" i="2"/>
  <c r="B40" i="2"/>
  <c r="C40" i="2"/>
  <c r="D40" i="2"/>
  <c r="E40" i="2"/>
  <c r="F40" i="2"/>
  <c r="G40" i="2"/>
  <c r="H40" i="2"/>
  <c r="I40" i="2"/>
  <c r="J40" i="2"/>
  <c r="K40" i="2"/>
  <c r="M40" i="2"/>
  <c r="N40" i="2"/>
  <c r="P40" i="2"/>
  <c r="Q40" i="2"/>
  <c r="T40" i="2"/>
  <c r="Z40" i="2"/>
  <c r="AF40" i="2"/>
  <c r="A41" i="2"/>
  <c r="B41" i="2"/>
  <c r="C41" i="2"/>
  <c r="D41" i="2"/>
  <c r="E41" i="2"/>
  <c r="F41" i="2"/>
  <c r="G41" i="2"/>
  <c r="H41" i="2"/>
  <c r="I41" i="2"/>
  <c r="J41" i="2"/>
  <c r="K41" i="2"/>
  <c r="M41" i="2"/>
  <c r="N41" i="2"/>
  <c r="P41" i="2"/>
  <c r="Q41" i="2"/>
  <c r="T41" i="2"/>
  <c r="Z41" i="2"/>
  <c r="AF41" i="2"/>
  <c r="T42" i="2"/>
  <c r="Z42" i="2"/>
  <c r="AF42" i="2"/>
  <c r="T43" i="2"/>
  <c r="Z43" i="2"/>
  <c r="AF43" i="2"/>
  <c r="A45" i="2"/>
  <c r="B45" i="2"/>
  <c r="C45" i="2"/>
  <c r="D45" i="2"/>
  <c r="E45" i="2"/>
  <c r="F45" i="2"/>
  <c r="G45" i="2"/>
  <c r="H45" i="2"/>
  <c r="I45" i="2"/>
  <c r="J45" i="2"/>
  <c r="K45" i="2"/>
  <c r="M45" i="2"/>
  <c r="N45" i="2"/>
  <c r="P45" i="2"/>
  <c r="Q45" i="2"/>
  <c r="T45" i="2"/>
  <c r="Z45" i="2"/>
  <c r="AF45" i="2"/>
  <c r="A46" i="2"/>
  <c r="B46" i="2"/>
  <c r="C46" i="2"/>
  <c r="D46" i="2"/>
  <c r="E46" i="2"/>
  <c r="F46" i="2"/>
  <c r="G46" i="2"/>
  <c r="H46" i="2"/>
  <c r="I46" i="2"/>
  <c r="J46" i="2"/>
  <c r="K46" i="2"/>
  <c r="M46" i="2"/>
  <c r="N46" i="2"/>
  <c r="P46" i="2"/>
  <c r="Q46" i="2"/>
  <c r="T46" i="2"/>
  <c r="V46" i="2"/>
  <c r="Z46" i="2"/>
  <c r="AB46" i="2"/>
  <c r="AF46" i="2"/>
  <c r="AH46" i="2"/>
  <c r="A47" i="2"/>
  <c r="B47" i="2"/>
  <c r="C47" i="2"/>
  <c r="D47" i="2"/>
  <c r="E47" i="2"/>
  <c r="F47" i="2"/>
  <c r="G47" i="2"/>
  <c r="H47" i="2"/>
  <c r="I47" i="2"/>
  <c r="J47" i="2"/>
  <c r="K47" i="2"/>
  <c r="M47" i="2"/>
  <c r="N47" i="2"/>
  <c r="P47" i="2"/>
  <c r="Q47" i="2"/>
  <c r="T47" i="2"/>
  <c r="Z47" i="2"/>
  <c r="AF47" i="2"/>
  <c r="A48" i="2"/>
  <c r="B48" i="2"/>
  <c r="C48" i="2"/>
  <c r="D48" i="2"/>
  <c r="E48" i="2"/>
  <c r="F48" i="2"/>
  <c r="G48" i="2"/>
  <c r="H48" i="2"/>
  <c r="I48" i="2"/>
  <c r="J48" i="2"/>
  <c r="K48" i="2"/>
  <c r="M48" i="2"/>
  <c r="N48" i="2"/>
  <c r="P48" i="2"/>
  <c r="Q48" i="2"/>
  <c r="T48" i="2"/>
  <c r="V48" i="2"/>
  <c r="Z48" i="2"/>
  <c r="AB48" i="2"/>
  <c r="AF48" i="2"/>
  <c r="AH48" i="2"/>
  <c r="A49" i="2"/>
  <c r="B49" i="2"/>
  <c r="C49" i="2"/>
  <c r="D49" i="2"/>
  <c r="E49" i="2"/>
  <c r="F49" i="2"/>
  <c r="G49" i="2"/>
  <c r="H49" i="2"/>
  <c r="I49" i="2"/>
  <c r="J49" i="2"/>
  <c r="K49" i="2"/>
  <c r="M49" i="2"/>
  <c r="N49" i="2"/>
  <c r="P49" i="2"/>
  <c r="Q49" i="2"/>
  <c r="T49" i="2"/>
  <c r="Z49" i="2"/>
  <c r="AF49" i="2"/>
  <c r="A50" i="2"/>
  <c r="B50" i="2"/>
  <c r="C50" i="2"/>
  <c r="D50" i="2"/>
  <c r="E50" i="2"/>
  <c r="F50" i="2"/>
  <c r="G50" i="2"/>
  <c r="H50" i="2"/>
  <c r="I50" i="2"/>
  <c r="J50" i="2"/>
  <c r="K50" i="2"/>
  <c r="M50" i="2"/>
  <c r="N50" i="2"/>
  <c r="P50" i="2"/>
  <c r="Q50" i="2"/>
  <c r="T50" i="2"/>
  <c r="V50" i="2"/>
  <c r="Z50" i="2"/>
  <c r="AB50" i="2"/>
  <c r="AF50" i="2"/>
  <c r="AH50" i="2"/>
  <c r="A51" i="2"/>
  <c r="B51" i="2"/>
  <c r="C51" i="2"/>
  <c r="D51" i="2"/>
  <c r="E51" i="2"/>
  <c r="F51" i="2"/>
  <c r="G51" i="2"/>
  <c r="H51" i="2"/>
  <c r="I51" i="2"/>
  <c r="J51" i="2"/>
  <c r="K51" i="2"/>
  <c r="M51" i="2"/>
  <c r="N51" i="2"/>
  <c r="P51" i="2"/>
  <c r="Q51" i="2"/>
  <c r="T51" i="2"/>
  <c r="Z51" i="2"/>
  <c r="AF51" i="2"/>
  <c r="A52" i="2"/>
  <c r="B52" i="2"/>
  <c r="C52" i="2"/>
  <c r="D52" i="2"/>
  <c r="E52" i="2"/>
  <c r="F52" i="2"/>
  <c r="G52" i="2"/>
  <c r="H52" i="2"/>
  <c r="I52" i="2"/>
  <c r="J52" i="2"/>
  <c r="K52" i="2"/>
  <c r="M52" i="2"/>
  <c r="N52" i="2"/>
  <c r="P52" i="2"/>
  <c r="Q52" i="2"/>
  <c r="T52" i="2"/>
  <c r="V52" i="2"/>
  <c r="Z52" i="2"/>
  <c r="AB52" i="2"/>
  <c r="AF52" i="2"/>
  <c r="AH52" i="2"/>
  <c r="A53" i="2"/>
  <c r="B53" i="2"/>
  <c r="C53" i="2"/>
  <c r="D53" i="2"/>
  <c r="E53" i="2"/>
  <c r="F53" i="2"/>
  <c r="G53" i="2"/>
  <c r="H53" i="2"/>
  <c r="I53" i="2"/>
  <c r="J53" i="2"/>
  <c r="K53" i="2"/>
  <c r="M53" i="2"/>
  <c r="N53" i="2"/>
  <c r="P53" i="2"/>
  <c r="Q53" i="2"/>
  <c r="T53" i="2"/>
  <c r="Z53" i="2"/>
  <c r="AF53" i="2"/>
  <c r="A54" i="2"/>
  <c r="B54" i="2"/>
  <c r="C54" i="2"/>
  <c r="D54" i="2"/>
  <c r="E54" i="2"/>
  <c r="F54" i="2"/>
  <c r="G54" i="2"/>
  <c r="H54" i="2"/>
  <c r="I54" i="2"/>
  <c r="J54" i="2"/>
  <c r="K54" i="2"/>
  <c r="M54" i="2"/>
  <c r="N54" i="2"/>
  <c r="P54" i="2"/>
  <c r="Q54" i="2"/>
  <c r="T54" i="2"/>
  <c r="V54" i="2"/>
  <c r="Z54" i="2"/>
  <c r="AB54" i="2"/>
  <c r="AF54" i="2"/>
  <c r="AH54" i="2"/>
  <c r="A55" i="2"/>
  <c r="B55" i="2"/>
  <c r="C55" i="2"/>
  <c r="D55" i="2"/>
  <c r="E55" i="2"/>
  <c r="F55" i="2"/>
  <c r="G55" i="2"/>
  <c r="H55" i="2"/>
  <c r="I55" i="2"/>
  <c r="J55" i="2"/>
  <c r="K55" i="2"/>
  <c r="M55" i="2"/>
  <c r="N55" i="2"/>
  <c r="P55" i="2"/>
  <c r="Q55" i="2"/>
  <c r="T55" i="2"/>
  <c r="Z55" i="2"/>
  <c r="AF55" i="2"/>
  <c r="A56" i="2"/>
  <c r="B56" i="2"/>
  <c r="C56" i="2"/>
  <c r="D56" i="2"/>
  <c r="E56" i="2"/>
  <c r="F56" i="2"/>
  <c r="G56" i="2"/>
  <c r="H56" i="2"/>
  <c r="I56" i="2"/>
  <c r="J56" i="2"/>
  <c r="K56" i="2"/>
  <c r="M56" i="2"/>
  <c r="N56" i="2"/>
  <c r="P56" i="2"/>
  <c r="Q56" i="2"/>
  <c r="T56" i="2"/>
  <c r="V56" i="2"/>
  <c r="Z56" i="2"/>
  <c r="AB56" i="2"/>
  <c r="AF56" i="2"/>
  <c r="AH56" i="2"/>
  <c r="T57" i="2"/>
  <c r="U57" i="2"/>
  <c r="V57" i="2"/>
  <c r="Z57" i="2"/>
  <c r="AA57" i="2"/>
  <c r="AB57" i="2"/>
  <c r="AF57" i="2"/>
  <c r="AH57" i="2"/>
  <c r="T58" i="2"/>
  <c r="V58" i="2" a="1"/>
  <c r="V58" i="2"/>
  <c r="Z58" i="2"/>
  <c r="AB58" i="2" a="1"/>
  <c r="AB58" i="2"/>
  <c r="AF58" i="2"/>
  <c r="AH58" i="2"/>
  <c r="T60" i="2"/>
  <c r="U60" i="2"/>
  <c r="V60" i="2"/>
  <c r="Z60" i="2"/>
  <c r="AA60" i="2"/>
  <c r="AB60" i="2"/>
  <c r="T61" i="2"/>
  <c r="V61" i="2"/>
  <c r="Z61" i="2"/>
  <c r="AB61" i="2"/>
  <c r="R62" i="2"/>
  <c r="T62" i="2" a="1"/>
  <c r="T62" i="2"/>
  <c r="A63" i="2"/>
  <c r="B63" i="2"/>
  <c r="C63" i="2"/>
  <c r="R63" i="2"/>
  <c r="T63" i="2" a="1"/>
  <c r="T63" i="2"/>
  <c r="A64" i="2"/>
  <c r="B64" i="2"/>
  <c r="C64" i="2"/>
  <c r="D64" i="2"/>
  <c r="E64" i="2"/>
  <c r="F64" i="2"/>
  <c r="G64" i="2"/>
  <c r="H64" i="2"/>
  <c r="I64" i="2"/>
  <c r="J64" i="2"/>
  <c r="K64" i="2"/>
  <c r="M64" i="2"/>
  <c r="N64" i="2"/>
  <c r="Q64" i="2"/>
  <c r="T64" i="2"/>
  <c r="Z64" i="2"/>
  <c r="AF64" i="2"/>
  <c r="A65" i="2"/>
  <c r="B65" i="2"/>
  <c r="C65" i="2"/>
  <c r="D65" i="2"/>
  <c r="E65" i="2"/>
  <c r="F65" i="2"/>
  <c r="G65" i="2"/>
  <c r="H65" i="2"/>
  <c r="I65" i="2"/>
  <c r="J65" i="2"/>
  <c r="K65" i="2"/>
  <c r="M65" i="2"/>
  <c r="N65" i="2"/>
  <c r="Q65" i="2"/>
  <c r="T65" i="2"/>
  <c r="Z65" i="2"/>
  <c r="AF65" i="2"/>
  <c r="T66" i="2"/>
  <c r="Z66" i="2"/>
  <c r="AF66" i="2"/>
  <c r="T67" i="2"/>
  <c r="Z67" i="2"/>
  <c r="AF67" i="2"/>
  <c r="T69" i="2"/>
  <c r="Z69" i="2"/>
  <c r="AF69" i="2"/>
  <c r="AH69" i="2"/>
  <c r="T70" i="2"/>
  <c r="Z70" i="2"/>
  <c r="AF70" i="2"/>
  <c r="AH70" i="2"/>
  <c r="T72" i="2"/>
  <c r="Z72" i="2"/>
  <c r="AF7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Goode</author>
  </authors>
  <commentList>
    <comment ref="G7" authorId="0" shapeId="0" xr:uid="{00000000-0006-0000-0000-000001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100 mm cube in test.</t>
        </r>
      </text>
    </comment>
    <comment ref="H7" authorId="0" shapeId="0" xr:uid="{00000000-0006-0000-0000-000002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factored by 0.91 to give equiv. 100 mm cube (China code), then by 0.8 to give equivalent cylinder strength.</t>
        </r>
      </text>
    </comment>
    <comment ref="G36" authorId="0" shapeId="0" xr:uid="{00000000-0006-0000-0000-000003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100 mm cube in test</t>
        </r>
      </text>
    </comment>
    <comment ref="H36" authorId="0" shapeId="0" xr:uid="{00000000-0006-0000-0000-000004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factored by 0.95 to give equiv. 100 mm cube (China code), then by 0.8 to give equivalent cylinder strength.</t>
        </r>
      </text>
    </comment>
    <comment ref="G43" authorId="0" shapeId="0" xr:uid="{00000000-0006-0000-0000-000005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150 mm cube in test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Goode</author>
  </authors>
  <commentList>
    <comment ref="G7" authorId="0" shapeId="0" xr:uid="{00000000-0006-0000-0100-000001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</t>
        </r>
        <r>
          <rPr>
            <b/>
            <sz val="8"/>
            <color indexed="81"/>
            <rFont val="Tahoma"/>
            <family val="2"/>
          </rPr>
          <t>100 mm cube in test</t>
        </r>
      </text>
    </comment>
    <comment ref="H7" authorId="0" shapeId="0" xr:uid="{00000000-0006-0000-0100-000002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factored by 0.91 to give equiv. 100 mm cube (China code), then by 0.8 to give equivalent cylinder strength.</t>
        </r>
      </text>
    </comment>
    <comment ref="H37" authorId="0" shapeId="0" xr:uid="{00000000-0006-0000-0100-000003000000}">
      <text>
        <r>
          <rPr>
            <b/>
            <sz val="8"/>
            <color indexed="81"/>
            <rFont val="Tahoma"/>
          </rPr>
          <t>Douglas Goode:</t>
        </r>
        <r>
          <rPr>
            <sz val="8"/>
            <color indexed="81"/>
            <rFont val="Tahoma"/>
          </rPr>
          <t xml:space="preserve">
factored by 0.95 to give equiv. 100 mm cube (China code), then by 0.8 to give equivalent cylinder strength.</t>
        </r>
      </text>
    </comment>
  </commentList>
</comments>
</file>

<file path=xl/sharedStrings.xml><?xml version="1.0" encoding="utf-8"?>
<sst xmlns="http://schemas.openxmlformats.org/spreadsheetml/2006/main" count="342" uniqueCount="201">
  <si>
    <t>gn)   NEW Nov. 2006 (Guo)    Long Square and Rectangular Tube Columns</t>
  </si>
  <si>
    <t xml:space="preserve"> 'k' factor</t>
  </si>
  <si>
    <t>2nd order</t>
  </si>
  <si>
    <t>with Moment</t>
  </si>
  <si>
    <t>analysis</t>
  </si>
  <si>
    <t>Data</t>
  </si>
  <si>
    <t xml:space="preserve">*  Ec = </t>
  </si>
  <si>
    <t>22*((fcyl+8)/10)^0.3</t>
  </si>
  <si>
    <t>local</t>
  </si>
  <si>
    <t>Test</t>
  </si>
  <si>
    <r>
      <t>N</t>
    </r>
    <r>
      <rPr>
        <sz val="10"/>
        <rFont val="Arial"/>
      </rPr>
      <t>plRd</t>
    </r>
  </si>
  <si>
    <r>
      <t>ChiN</t>
    </r>
    <r>
      <rPr>
        <sz val="10"/>
        <rFont val="Arial"/>
        <family val="2"/>
      </rPr>
      <t>plR</t>
    </r>
  </si>
  <si>
    <t>from N/M curve</t>
  </si>
  <si>
    <t>d</t>
  </si>
  <si>
    <t>|&lt;---</t>
  </si>
  <si>
    <t>suplement</t>
  </si>
  <si>
    <t>ary</t>
  </si>
  <si>
    <t>calculation</t>
  </si>
  <si>
    <t>---&gt;|</t>
  </si>
  <si>
    <t>Ref. No.</t>
  </si>
  <si>
    <t>b</t>
  </si>
  <si>
    <t>h</t>
  </si>
  <si>
    <t>t</t>
  </si>
  <si>
    <t>Yield</t>
  </si>
  <si>
    <t>Es</t>
  </si>
  <si>
    <t>fcu</t>
  </si>
  <si>
    <t>fcyl</t>
  </si>
  <si>
    <t>Ec</t>
  </si>
  <si>
    <t>Length</t>
  </si>
  <si>
    <t>L/b</t>
  </si>
  <si>
    <t>Slender-</t>
  </si>
  <si>
    <t>h/t</t>
  </si>
  <si>
    <t>buckling</t>
  </si>
  <si>
    <t>Nmax</t>
  </si>
  <si>
    <r>
      <t>d</t>
    </r>
    <r>
      <rPr>
        <sz val="10"/>
        <rFont val="Arial"/>
        <family val="2"/>
      </rPr>
      <t>o</t>
    </r>
  </si>
  <si>
    <t>M (N*e)</t>
  </si>
  <si>
    <t>EC4</t>
  </si>
  <si>
    <t>N</t>
  </si>
  <si>
    <r>
      <t>e</t>
    </r>
    <r>
      <rPr>
        <sz val="10"/>
        <rFont val="Arial"/>
        <family val="2"/>
      </rPr>
      <t>maj</t>
    </r>
  </si>
  <si>
    <r>
      <t>e</t>
    </r>
    <r>
      <rPr>
        <sz val="10"/>
        <rFont val="Arial"/>
        <family val="2"/>
      </rPr>
      <t>minor</t>
    </r>
  </si>
  <si>
    <t>Asfy</t>
  </si>
  <si>
    <t>Bc</t>
  </si>
  <si>
    <t>Hc</t>
  </si>
  <si>
    <t>Ac</t>
  </si>
  <si>
    <t>As</t>
  </si>
  <si>
    <t>(EI)e</t>
  </si>
  <si>
    <t>Ncr</t>
  </si>
  <si>
    <t>phi</t>
  </si>
  <si>
    <t>Chi</t>
  </si>
  <si>
    <t>mm</t>
  </si>
  <si>
    <t>MPa</t>
  </si>
  <si>
    <t>GPa</t>
  </si>
  <si>
    <t>ness</t>
  </si>
  <si>
    <t>if &gt; 1</t>
  </si>
  <si>
    <t>kN</t>
  </si>
  <si>
    <t>kNm</t>
  </si>
  <si>
    <t>Short</t>
  </si>
  <si>
    <t>EC4k</t>
  </si>
  <si>
    <t>EC4 2nd</t>
  </si>
  <si>
    <t>Npl,Rd</t>
  </si>
  <si>
    <t>mm2</t>
  </si>
  <si>
    <t>kNmm^2</t>
  </si>
  <si>
    <t>Zhang &amp; Guo</t>
  </si>
  <si>
    <t>Ref 94&amp;95</t>
  </si>
  <si>
    <t>&amp; Unpub</t>
  </si>
  <si>
    <t>100 mm</t>
  </si>
  <si>
    <t>.91*.8*fcu</t>
  </si>
  <si>
    <t>SA1</t>
  </si>
  <si>
    <t>SA2</t>
  </si>
  <si>
    <t>SA3</t>
  </si>
  <si>
    <t>SA4</t>
  </si>
  <si>
    <t>SA5</t>
  </si>
  <si>
    <t>SA6</t>
  </si>
  <si>
    <t>RA1</t>
  </si>
  <si>
    <t>RA2</t>
  </si>
  <si>
    <t>RA3</t>
  </si>
  <si>
    <t>RA4</t>
  </si>
  <si>
    <t>SE1</t>
  </si>
  <si>
    <t>SE2</t>
  </si>
  <si>
    <t>SE3</t>
  </si>
  <si>
    <t>SE4</t>
  </si>
  <si>
    <t>SE5</t>
  </si>
  <si>
    <t>SE6</t>
  </si>
  <si>
    <t>SE7</t>
  </si>
  <si>
    <t>SE8</t>
  </si>
  <si>
    <t>RE1</t>
  </si>
  <si>
    <t>RE2</t>
  </si>
  <si>
    <t>RE3</t>
  </si>
  <si>
    <t>RE4</t>
  </si>
  <si>
    <t>RE5</t>
  </si>
  <si>
    <t>RE6</t>
  </si>
  <si>
    <t>RE7</t>
  </si>
  <si>
    <t>RE8</t>
  </si>
  <si>
    <t>Guo Lanhui</t>
  </si>
  <si>
    <t>Ref. 87</t>
  </si>
  <si>
    <t>PhD thesis</t>
  </si>
  <si>
    <t>.95*.8*fcu</t>
  </si>
  <si>
    <t>R-K3-2</t>
  </si>
  <si>
    <t>R-K3-5</t>
  </si>
  <si>
    <t>S-K2-1</t>
  </si>
  <si>
    <t>R-K1-2</t>
  </si>
  <si>
    <t>R-K2-2</t>
  </si>
  <si>
    <t>Liu Dalin</t>
  </si>
  <si>
    <t>Ref. 96</t>
  </si>
  <si>
    <t>150 mm</t>
  </si>
  <si>
    <t>0.8*fcu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</si>
  <si>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</si>
  <si>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</si>
  <si>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</si>
  <si>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</si>
  <si>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</si>
  <si>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</si>
  <si>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</si>
  <si>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</si>
  <si>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</si>
  <si>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</si>
  <si>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</si>
  <si>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</si>
  <si>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Av 'k'</t>
  </si>
  <si>
    <t>Av 2nd</t>
  </si>
  <si>
    <t>test/EC4</t>
  </si>
  <si>
    <t>No &gt; 60</t>
  </si>
  <si>
    <t>loc B &gt;1</t>
  </si>
  <si>
    <t>Tot No.</t>
  </si>
  <si>
    <t>No &lt; 0.2</t>
  </si>
  <si>
    <t>No &lt;=60</t>
  </si>
  <si>
    <t>loc B &lt;1</t>
  </si>
  <si>
    <t>No. &lt; 1</t>
  </si>
  <si>
    <t>No &gt; 0.9</t>
  </si>
  <si>
    <t>Ref. 108</t>
  </si>
  <si>
    <t>% &lt; 1</t>
  </si>
  <si>
    <t>NEW Nov. 2006 (Guo)  Long Square and Rectangular Tube Columns</t>
  </si>
  <si>
    <t>allowing for imperfections by</t>
  </si>
  <si>
    <t>eccentricity = ecc. + Length/300</t>
  </si>
  <si>
    <t>using 'k' factor</t>
  </si>
  <si>
    <t>using .85*fc when</t>
  </si>
  <si>
    <t>2nd order analysis</t>
  </si>
  <si>
    <t>from Graph EC4</t>
  </si>
  <si>
    <t>fc &gt; 60 MPa</t>
  </si>
  <si>
    <t>fc &gt; 60 N/mm2</t>
  </si>
  <si>
    <r>
      <t xml:space="preserve">M </t>
    </r>
    <r>
      <rPr>
        <sz val="10"/>
        <rFont val="Arial"/>
        <family val="2"/>
      </rPr>
      <t>(Nxe)</t>
    </r>
  </si>
  <si>
    <t>M</t>
  </si>
  <si>
    <t>Test N</t>
  </si>
  <si>
    <t>EC4 N</t>
  </si>
  <si>
    <t>Pred N</t>
  </si>
  <si>
    <t>Ref. 94, 95</t>
  </si>
  <si>
    <t>.91*.8*cube</t>
  </si>
  <si>
    <t>Av (26) =</t>
  </si>
  <si>
    <t>St Dev =</t>
  </si>
  <si>
    <t>Av (5) =</t>
  </si>
  <si>
    <t>Av (12) =</t>
  </si>
  <si>
    <t xml:space="preserve">O A </t>
  </si>
  <si>
    <t>Av (43) =</t>
  </si>
  <si>
    <t>No fc&lt;60</t>
  </si>
  <si>
    <t xml:space="preserve">Av = </t>
  </si>
  <si>
    <t>No fc&gt;60</t>
  </si>
  <si>
    <t>Av (2) =</t>
  </si>
  <si>
    <t>OA</t>
  </si>
  <si>
    <t>Av (45)=</t>
  </si>
  <si>
    <t>St Dev</t>
  </si>
  <si>
    <t>No.</t>
  </si>
  <si>
    <t>&lt; 1</t>
  </si>
  <si>
    <t>Summary of results from previous workbook (g)</t>
  </si>
  <si>
    <t>second order analysis</t>
  </si>
  <si>
    <t>Slend.</t>
  </si>
  <si>
    <r>
      <t>Shakir-K</t>
    </r>
    <r>
      <rPr>
        <sz val="10"/>
        <rFont val="Arial"/>
      </rPr>
      <t xml:space="preserve"> 1</t>
    </r>
  </si>
  <si>
    <t>X1</t>
  </si>
  <si>
    <t>X2</t>
  </si>
  <si>
    <t>X3</t>
  </si>
  <si>
    <t>X4</t>
  </si>
  <si>
    <r>
      <t>Wei</t>
    </r>
    <r>
      <rPr>
        <sz val="10"/>
        <rFont val="Arial"/>
      </rPr>
      <t xml:space="preserve"> Scp1-1</t>
    </r>
  </si>
  <si>
    <t>Scp1-2</t>
  </si>
  <si>
    <t>Scp1-3</t>
  </si>
  <si>
    <t>Scp1-4</t>
  </si>
  <si>
    <t>Scp1-5</t>
  </si>
  <si>
    <t>Scp1-6</t>
  </si>
  <si>
    <t>Scp2-1</t>
  </si>
  <si>
    <t>Scp2-2</t>
  </si>
  <si>
    <t>Scp2-3</t>
  </si>
  <si>
    <t>Scp2-4</t>
  </si>
  <si>
    <t>Scp2-5</t>
  </si>
  <si>
    <t>Scp3-1</t>
  </si>
  <si>
    <t>Scp3-2</t>
  </si>
  <si>
    <t>Scp3-3</t>
  </si>
  <si>
    <t>Scp4-1</t>
  </si>
  <si>
    <t>Scp4-2</t>
  </si>
  <si>
    <t>Scp4-3</t>
  </si>
  <si>
    <t>Scp4-4</t>
  </si>
  <si>
    <t>Scp5-1</t>
  </si>
  <si>
    <t>Scp5-2</t>
  </si>
  <si>
    <t>Scp5-3</t>
  </si>
  <si>
    <r>
      <t>Mursi</t>
    </r>
    <r>
      <rPr>
        <sz val="10"/>
        <rFont val="Arial"/>
      </rPr>
      <t xml:space="preserve"> SL-C110</t>
    </r>
  </si>
  <si>
    <t>SL-C160</t>
  </si>
  <si>
    <t>SL-C210</t>
  </si>
  <si>
    <t>SL-C260</t>
  </si>
  <si>
    <r>
      <t xml:space="preserve">Han </t>
    </r>
    <r>
      <rPr>
        <sz val="10"/>
        <rFont val="Arial"/>
      </rPr>
      <t>1</t>
    </r>
  </si>
  <si>
    <r>
      <t xml:space="preserve">Han </t>
    </r>
    <r>
      <rPr>
        <sz val="10"/>
        <rFont val="Arial"/>
      </rPr>
      <t>lssc2-1</t>
    </r>
  </si>
  <si>
    <t>lssc2-2</t>
  </si>
  <si>
    <t>lsh2-1</t>
  </si>
  <si>
    <t>lsh2-2</t>
  </si>
  <si>
    <t>lsv2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</si>
</sst>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Symbol"/>
      <family val="1"/>
      <charset val="2"/>
    </font>
    <font>
      <sz val="8"/>
      <color indexed="81"/>
      <name val="Tahoma"/>
    </font>
    <font>
      <b/>
      <sz val="8"/>
      <color indexed="81"/>
      <name val="Tahoma"/>
    </font>
    <font>
      <b/>
      <sz val="8"/>
      <color indexed="81"/>
      <name val="Tahoma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9" fontId="0" fillId="0" borderId="0" xfId="0" applyNumberFormat="1"/>
    <xf numFmtId="1" fontId="1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center"/>
    </xf>
    <xf numFmtId="165" fontId="3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chartsheet" Target="chart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Square and Rectangular CFST with Moment</a:t>
            </a:r>
          </a:p>
        </c:rich>
      </c:tx>
      <c:layout>
        <c:manualLayout>
          <c:xMode val="edge"/>
          <c:yMode val="edge"/>
          <c:x val="0.30410654827968925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680355160932297E-2"/>
          <c:y val="0.12071778140293637"/>
          <c:w val="0.84350721420643726"/>
          <c:h val="0.76998368678629692"/>
        </c:manualLayout>
      </c:layout>
      <c:scatterChart>
        <c:scatterStyle val="lineMarker"/>
        <c:varyColors val="0"/>
        <c:ser>
          <c:idx val="0"/>
          <c:order val="0"/>
          <c:tx>
            <c:v> Old Data (51)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'old Data'!$C$5:$C$55</c:f>
              <c:numCache>
                <c:formatCode>General</c:formatCode>
                <c:ptCount val="51"/>
                <c:pt idx="0">
                  <c:v>710</c:v>
                </c:pt>
                <c:pt idx="1">
                  <c:v>629</c:v>
                </c:pt>
                <c:pt idx="2">
                  <c:v>439</c:v>
                </c:pt>
                <c:pt idx="3">
                  <c:v>330</c:v>
                </c:pt>
                <c:pt idx="4">
                  <c:v>466</c:v>
                </c:pt>
                <c:pt idx="5">
                  <c:v>408</c:v>
                </c:pt>
                <c:pt idx="6">
                  <c:v>302</c:v>
                </c:pt>
                <c:pt idx="7">
                  <c:v>241</c:v>
                </c:pt>
                <c:pt idx="8">
                  <c:v>329</c:v>
                </c:pt>
                <c:pt idx="9">
                  <c:v>291</c:v>
                </c:pt>
                <c:pt idx="10">
                  <c:v>233</c:v>
                </c:pt>
                <c:pt idx="11">
                  <c:v>191</c:v>
                </c:pt>
                <c:pt idx="12">
                  <c:v>434</c:v>
                </c:pt>
                <c:pt idx="13">
                  <c:v>298</c:v>
                </c:pt>
                <c:pt idx="14">
                  <c:v>224</c:v>
                </c:pt>
                <c:pt idx="15">
                  <c:v>477</c:v>
                </c:pt>
                <c:pt idx="16">
                  <c:v>381</c:v>
                </c:pt>
                <c:pt idx="17">
                  <c:v>351</c:v>
                </c:pt>
                <c:pt idx="18">
                  <c:v>300</c:v>
                </c:pt>
                <c:pt idx="19">
                  <c:v>351</c:v>
                </c:pt>
                <c:pt idx="20">
                  <c:v>326</c:v>
                </c:pt>
                <c:pt idx="21">
                  <c:v>682</c:v>
                </c:pt>
                <c:pt idx="22">
                  <c:v>488</c:v>
                </c:pt>
                <c:pt idx="23">
                  <c:v>392</c:v>
                </c:pt>
                <c:pt idx="24">
                  <c:v>505</c:v>
                </c:pt>
                <c:pt idx="25">
                  <c:v>432</c:v>
                </c:pt>
                <c:pt idx="26">
                  <c:v>651</c:v>
                </c:pt>
                <c:pt idx="27">
                  <c:v>530</c:v>
                </c:pt>
                <c:pt idx="28">
                  <c:v>405</c:v>
                </c:pt>
                <c:pt idx="29">
                  <c:v>845</c:v>
                </c:pt>
                <c:pt idx="30">
                  <c:v>701</c:v>
                </c:pt>
                <c:pt idx="31">
                  <c:v>621</c:v>
                </c:pt>
                <c:pt idx="32">
                  <c:v>513</c:v>
                </c:pt>
                <c:pt idx="33">
                  <c:v>1477</c:v>
                </c:pt>
                <c:pt idx="34">
                  <c:v>1204</c:v>
                </c:pt>
                <c:pt idx="35">
                  <c:v>994</c:v>
                </c:pt>
                <c:pt idx="36">
                  <c:v>827</c:v>
                </c:pt>
                <c:pt idx="37">
                  <c:v>1804</c:v>
                </c:pt>
                <c:pt idx="38">
                  <c:v>2883</c:v>
                </c:pt>
                <c:pt idx="39">
                  <c:v>3967</c:v>
                </c:pt>
                <c:pt idx="40">
                  <c:v>855</c:v>
                </c:pt>
                <c:pt idx="41">
                  <c:v>855</c:v>
                </c:pt>
                <c:pt idx="42">
                  <c:v>741</c:v>
                </c:pt>
                <c:pt idx="43">
                  <c:v>741</c:v>
                </c:pt>
                <c:pt idx="44">
                  <c:v>772</c:v>
                </c:pt>
                <c:pt idx="45">
                  <c:v>774</c:v>
                </c:pt>
                <c:pt idx="46">
                  <c:v>2009</c:v>
                </c:pt>
                <c:pt idx="47">
                  <c:v>2012</c:v>
                </c:pt>
                <c:pt idx="48">
                  <c:v>2009</c:v>
                </c:pt>
                <c:pt idx="49">
                  <c:v>2007</c:v>
                </c:pt>
                <c:pt idx="50">
                  <c:v>2005</c:v>
                </c:pt>
              </c:numCache>
            </c:numRef>
          </c:xVal>
          <c:yVal>
            <c:numRef>
              <c:f>'old Data'!$B$5:$B$55</c:f>
              <c:numCache>
                <c:formatCode>General</c:formatCode>
                <c:ptCount val="51"/>
                <c:pt idx="0">
                  <c:v>882</c:v>
                </c:pt>
                <c:pt idx="1">
                  <c:v>670</c:v>
                </c:pt>
                <c:pt idx="2">
                  <c:v>470</c:v>
                </c:pt>
                <c:pt idx="3">
                  <c:v>339</c:v>
                </c:pt>
                <c:pt idx="4">
                  <c:v>667</c:v>
                </c:pt>
                <c:pt idx="5">
                  <c:v>650</c:v>
                </c:pt>
                <c:pt idx="6">
                  <c:v>443</c:v>
                </c:pt>
                <c:pt idx="7">
                  <c:v>344</c:v>
                </c:pt>
                <c:pt idx="8">
                  <c:v>536</c:v>
                </c:pt>
                <c:pt idx="9">
                  <c:v>558</c:v>
                </c:pt>
                <c:pt idx="10">
                  <c:v>356</c:v>
                </c:pt>
                <c:pt idx="11">
                  <c:v>293</c:v>
                </c:pt>
                <c:pt idx="12">
                  <c:v>402</c:v>
                </c:pt>
                <c:pt idx="13">
                  <c:v>349</c:v>
                </c:pt>
                <c:pt idx="14">
                  <c:v>273</c:v>
                </c:pt>
                <c:pt idx="15">
                  <c:v>588</c:v>
                </c:pt>
                <c:pt idx="16">
                  <c:v>450.8</c:v>
                </c:pt>
                <c:pt idx="17">
                  <c:v>421.4</c:v>
                </c:pt>
                <c:pt idx="18">
                  <c:v>333.2</c:v>
                </c:pt>
                <c:pt idx="19">
                  <c:v>417.5</c:v>
                </c:pt>
                <c:pt idx="20">
                  <c:v>423.4</c:v>
                </c:pt>
                <c:pt idx="21">
                  <c:v>833</c:v>
                </c:pt>
                <c:pt idx="22">
                  <c:v>615.4</c:v>
                </c:pt>
                <c:pt idx="23">
                  <c:v>509.6</c:v>
                </c:pt>
                <c:pt idx="24">
                  <c:v>558.6</c:v>
                </c:pt>
                <c:pt idx="25">
                  <c:v>539</c:v>
                </c:pt>
                <c:pt idx="26">
                  <c:v>754.6</c:v>
                </c:pt>
                <c:pt idx="27">
                  <c:v>548.79999999999995</c:v>
                </c:pt>
                <c:pt idx="28">
                  <c:v>510.6</c:v>
                </c:pt>
                <c:pt idx="29">
                  <c:v>1014.3</c:v>
                </c:pt>
                <c:pt idx="30">
                  <c:v>803.6</c:v>
                </c:pt>
                <c:pt idx="31">
                  <c:v>735</c:v>
                </c:pt>
                <c:pt idx="32">
                  <c:v>555.70000000000005</c:v>
                </c:pt>
                <c:pt idx="33">
                  <c:v>1793.4</c:v>
                </c:pt>
                <c:pt idx="34">
                  <c:v>1425.9</c:v>
                </c:pt>
                <c:pt idx="35">
                  <c:v>1200.5</c:v>
                </c:pt>
                <c:pt idx="36">
                  <c:v>1481</c:v>
                </c:pt>
                <c:pt idx="37">
                  <c:v>2126</c:v>
                </c:pt>
                <c:pt idx="38">
                  <c:v>2939</c:v>
                </c:pt>
                <c:pt idx="39">
                  <c:v>3062</c:v>
                </c:pt>
                <c:pt idx="40">
                  <c:v>872</c:v>
                </c:pt>
                <c:pt idx="41">
                  <c:v>812</c:v>
                </c:pt>
                <c:pt idx="42">
                  <c:v>646</c:v>
                </c:pt>
                <c:pt idx="43">
                  <c:v>610</c:v>
                </c:pt>
                <c:pt idx="44">
                  <c:v>670</c:v>
                </c:pt>
                <c:pt idx="45">
                  <c:v>635</c:v>
                </c:pt>
                <c:pt idx="46">
                  <c:v>1450</c:v>
                </c:pt>
                <c:pt idx="47">
                  <c:v>1415</c:v>
                </c:pt>
                <c:pt idx="48">
                  <c:v>1502</c:v>
                </c:pt>
                <c:pt idx="49">
                  <c:v>1535</c:v>
                </c:pt>
                <c:pt idx="50">
                  <c:v>1620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48-4467-91CA-88506E49A1C4}"/>
            </c:ext>
          </c:extLst>
        </c:ser>
        <c:ser>
          <c:idx val="1"/>
          <c:order val="1"/>
          <c:tx>
            <c:v> Zhang &amp; Guo (26)</c:v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Summary!$X$8:$X$33</c:f>
              <c:numCache>
                <c:formatCode>0</c:formatCode>
                <c:ptCount val="26"/>
                <c:pt idx="0">
                  <c:v>1871</c:v>
                </c:pt>
                <c:pt idx="1">
                  <c:v>1557</c:v>
                </c:pt>
                <c:pt idx="2">
                  <c:v>1250</c:v>
                </c:pt>
                <c:pt idx="3">
                  <c:v>2166</c:v>
                </c:pt>
                <c:pt idx="4">
                  <c:v>1896</c:v>
                </c:pt>
                <c:pt idx="5">
                  <c:v>1566</c:v>
                </c:pt>
                <c:pt idx="6">
                  <c:v>1975</c:v>
                </c:pt>
                <c:pt idx="7">
                  <c:v>1734</c:v>
                </c:pt>
                <c:pt idx="8">
                  <c:v>2070</c:v>
                </c:pt>
                <c:pt idx="9">
                  <c:v>1873</c:v>
                </c:pt>
                <c:pt idx="10">
                  <c:v>962</c:v>
                </c:pt>
                <c:pt idx="11">
                  <c:v>1357</c:v>
                </c:pt>
                <c:pt idx="12">
                  <c:v>1049</c:v>
                </c:pt>
                <c:pt idx="13">
                  <c:v>695</c:v>
                </c:pt>
                <c:pt idx="14">
                  <c:v>1247</c:v>
                </c:pt>
                <c:pt idx="15">
                  <c:v>1616</c:v>
                </c:pt>
                <c:pt idx="16">
                  <c:v>1381</c:v>
                </c:pt>
                <c:pt idx="17">
                  <c:v>1014</c:v>
                </c:pt>
                <c:pt idx="18">
                  <c:v>1551</c:v>
                </c:pt>
                <c:pt idx="19">
                  <c:v>1144</c:v>
                </c:pt>
                <c:pt idx="20">
                  <c:v>774</c:v>
                </c:pt>
                <c:pt idx="21">
                  <c:v>1278</c:v>
                </c:pt>
                <c:pt idx="22">
                  <c:v>1818</c:v>
                </c:pt>
                <c:pt idx="23">
                  <c:v>1538</c:v>
                </c:pt>
                <c:pt idx="24">
                  <c:v>1330</c:v>
                </c:pt>
                <c:pt idx="25">
                  <c:v>1147</c:v>
                </c:pt>
              </c:numCache>
            </c:numRef>
          </c:xVal>
          <c:yVal>
            <c:numRef>
              <c:f>Summary!$P$8:$P$33</c:f>
              <c:numCache>
                <c:formatCode>General</c:formatCode>
                <c:ptCount val="26"/>
                <c:pt idx="0">
                  <c:v>2352</c:v>
                </c:pt>
                <c:pt idx="1">
                  <c:v>2077</c:v>
                </c:pt>
                <c:pt idx="2">
                  <c:v>1558</c:v>
                </c:pt>
                <c:pt idx="3">
                  <c:v>2597</c:v>
                </c:pt>
                <c:pt idx="4">
                  <c:v>2381</c:v>
                </c:pt>
                <c:pt idx="5">
                  <c:v>1627</c:v>
                </c:pt>
                <c:pt idx="6">
                  <c:v>2401</c:v>
                </c:pt>
                <c:pt idx="7">
                  <c:v>2283</c:v>
                </c:pt>
                <c:pt idx="8">
                  <c:v>2636</c:v>
                </c:pt>
                <c:pt idx="9">
                  <c:v>2303</c:v>
                </c:pt>
                <c:pt idx="10">
                  <c:v>1147</c:v>
                </c:pt>
                <c:pt idx="11">
                  <c:v>1597</c:v>
                </c:pt>
                <c:pt idx="12">
                  <c:v>1274</c:v>
                </c:pt>
                <c:pt idx="13">
                  <c:v>941</c:v>
                </c:pt>
                <c:pt idx="14">
                  <c:v>1416</c:v>
                </c:pt>
                <c:pt idx="15">
                  <c:v>1901</c:v>
                </c:pt>
                <c:pt idx="16">
                  <c:v>1519</c:v>
                </c:pt>
                <c:pt idx="17">
                  <c:v>1103</c:v>
                </c:pt>
                <c:pt idx="18">
                  <c:v>1911</c:v>
                </c:pt>
                <c:pt idx="19">
                  <c:v>1343</c:v>
                </c:pt>
                <c:pt idx="20">
                  <c:v>823</c:v>
                </c:pt>
                <c:pt idx="21">
                  <c:v>1588</c:v>
                </c:pt>
                <c:pt idx="22">
                  <c:v>2058</c:v>
                </c:pt>
                <c:pt idx="23">
                  <c:v>1813</c:v>
                </c:pt>
                <c:pt idx="24">
                  <c:v>1529</c:v>
                </c:pt>
                <c:pt idx="25">
                  <c:v>1548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A48-4467-91CA-88506E49A1C4}"/>
            </c:ext>
          </c:extLst>
        </c:ser>
        <c:ser>
          <c:idx val="2"/>
          <c:order val="2"/>
          <c:tx>
            <c:v> Guo (5)</c:v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Summary!$X$37:$X$41</c:f>
              <c:numCache>
                <c:formatCode>General</c:formatCode>
                <c:ptCount val="5"/>
                <c:pt idx="0">
                  <c:v>756</c:v>
                </c:pt>
                <c:pt idx="1">
                  <c:v>606</c:v>
                </c:pt>
                <c:pt idx="2">
                  <c:v>966</c:v>
                </c:pt>
                <c:pt idx="3">
                  <c:v>695</c:v>
                </c:pt>
                <c:pt idx="4">
                  <c:v>887</c:v>
                </c:pt>
              </c:numCache>
            </c:numRef>
          </c:xVal>
          <c:yVal>
            <c:numRef>
              <c:f>Summary!$P$37:$P$41</c:f>
              <c:numCache>
                <c:formatCode>General</c:formatCode>
                <c:ptCount val="5"/>
                <c:pt idx="0">
                  <c:v>1002.3</c:v>
                </c:pt>
                <c:pt idx="1">
                  <c:v>655.20000000000005</c:v>
                </c:pt>
                <c:pt idx="2">
                  <c:v>1081.9000000000001</c:v>
                </c:pt>
                <c:pt idx="3">
                  <c:v>856.5</c:v>
                </c:pt>
                <c:pt idx="4">
                  <c:v>1036.8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48-4467-91CA-88506E49A1C4}"/>
            </c:ext>
          </c:extLst>
        </c:ser>
        <c:ser>
          <c:idx val="3"/>
          <c:order val="3"/>
          <c:tx>
            <c:v> Liu (12)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Summary!$X$45:$X$56</c:f>
              <c:numCache>
                <c:formatCode>General</c:formatCode>
                <c:ptCount val="12"/>
                <c:pt idx="0">
                  <c:v>1560</c:v>
                </c:pt>
                <c:pt idx="1">
                  <c:v>1660</c:v>
                </c:pt>
                <c:pt idx="2">
                  <c:v>1257</c:v>
                </c:pt>
                <c:pt idx="3">
                  <c:v>876</c:v>
                </c:pt>
                <c:pt idx="4">
                  <c:v>1576</c:v>
                </c:pt>
                <c:pt idx="5">
                  <c:v>1070</c:v>
                </c:pt>
                <c:pt idx="6">
                  <c:v>603</c:v>
                </c:pt>
                <c:pt idx="7">
                  <c:v>598</c:v>
                </c:pt>
                <c:pt idx="8">
                  <c:v>1109</c:v>
                </c:pt>
                <c:pt idx="9">
                  <c:v>1432</c:v>
                </c:pt>
                <c:pt idx="10">
                  <c:v>393</c:v>
                </c:pt>
                <c:pt idx="11">
                  <c:v>523</c:v>
                </c:pt>
              </c:numCache>
            </c:numRef>
          </c:xVal>
          <c:yVal>
            <c:numRef>
              <c:f>Summary!$P$45:$P$56</c:f>
              <c:numCache>
                <c:formatCode>General</c:formatCode>
                <c:ptCount val="12"/>
                <c:pt idx="0">
                  <c:v>1678</c:v>
                </c:pt>
                <c:pt idx="1">
                  <c:v>1850</c:v>
                </c:pt>
                <c:pt idx="2">
                  <c:v>1330</c:v>
                </c:pt>
                <c:pt idx="3">
                  <c:v>1020</c:v>
                </c:pt>
                <c:pt idx="4">
                  <c:v>1950</c:v>
                </c:pt>
                <c:pt idx="5">
                  <c:v>1140</c:v>
                </c:pt>
                <c:pt idx="6">
                  <c:v>660</c:v>
                </c:pt>
                <c:pt idx="7">
                  <c:v>855</c:v>
                </c:pt>
                <c:pt idx="8">
                  <c:v>1310</c:v>
                </c:pt>
                <c:pt idx="9">
                  <c:v>1800</c:v>
                </c:pt>
                <c:pt idx="10">
                  <c:v>670</c:v>
                </c:pt>
                <c:pt idx="11">
                  <c:v>1020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A48-4467-91CA-88506E49A1C4}"/>
            </c:ext>
          </c:extLst>
        </c:ser>
        <c:ser>
          <c:idx val="4"/>
          <c:order val="4"/>
          <c:tx>
            <c:v> Guo &amp; Zhang (2)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xVal>
            <c:numRef>
              <c:f>Summary!$X$64:$X$65</c:f>
              <c:numCache>
                <c:formatCode>General</c:formatCode>
                <c:ptCount val="2"/>
                <c:pt idx="0">
                  <c:v>782</c:v>
                </c:pt>
                <c:pt idx="1">
                  <c:v>560</c:v>
                </c:pt>
              </c:numCache>
            </c:numRef>
          </c:xVal>
          <c:yVal>
            <c:numRef>
              <c:f>Summary!$P$64:$P$65</c:f>
              <c:numCache>
                <c:formatCode>General</c:formatCode>
                <c:ptCount val="2"/>
                <c:pt idx="0">
                  <c:v>983</c:v>
                </c:pt>
                <c:pt idx="1">
                  <c:v>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A48-4467-91CA-88506E49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785903"/>
        <c:axId val="1"/>
      </c:scatterChart>
      <c:valAx>
        <c:axId val="1526785903"/>
        <c:scaling>
          <c:orientation val="minMax"/>
          <c:max val="4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Eurocode 4 'second order analysis'   kN</a:t>
                </a:r>
              </a:p>
            </c:rich>
          </c:tx>
          <c:layout>
            <c:manualLayout>
              <c:xMode val="edge"/>
              <c:yMode val="edge"/>
              <c:x val="0.35516093229744727"/>
              <c:y val="0.94290375203915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 kN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567699836867862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26785903"/>
        <c:crosses val="autoZero"/>
        <c:crossBetween val="midCat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917869034406214"/>
          <c:y val="0.58238172920065256"/>
          <c:w val="0.15871254162042175"/>
          <c:h val="0.177814029363784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Rectangular CFST Columns    Ratio Test/EC4 v Slenderness</a:t>
            </a:r>
          </a:p>
        </c:rich>
      </c:tx>
      <c:layout>
        <c:manualLayout>
          <c:xMode val="edge"/>
          <c:yMode val="edge"/>
          <c:x val="0.23973362930077691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0766721044045677"/>
          <c:w val="0.87791342952275253"/>
          <c:h val="0.77814029363784665"/>
        </c:manualLayout>
      </c:layout>
      <c:scatterChart>
        <c:scatterStyle val="lineMarker"/>
        <c:varyColors val="0"/>
        <c:ser>
          <c:idx val="0"/>
          <c:order val="0"/>
          <c:tx>
            <c:v> Old Data (51)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'old Data'!$E$5:$E$55</c:f>
              <c:numCache>
                <c:formatCode>0.000</c:formatCode>
                <c:ptCount val="51"/>
                <c:pt idx="0">
                  <c:v>1.0487364451299039</c:v>
                </c:pt>
                <c:pt idx="1">
                  <c:v>1.055124532921069</c:v>
                </c:pt>
                <c:pt idx="2">
                  <c:v>1.0584422842588779</c:v>
                </c:pt>
                <c:pt idx="3">
                  <c:v>1.0522885819991259</c:v>
                </c:pt>
                <c:pt idx="4">
                  <c:v>1.4766908945213992</c:v>
                </c:pt>
                <c:pt idx="5">
                  <c:v>1.4730858800688764</c:v>
                </c:pt>
                <c:pt idx="6">
                  <c:v>1.469388982205923</c:v>
                </c:pt>
                <c:pt idx="7">
                  <c:v>1.458234005372893</c:v>
                </c:pt>
                <c:pt idx="8">
                  <c:v>1.8048576266591456</c:v>
                </c:pt>
                <c:pt idx="9">
                  <c:v>1.7784021590687149</c:v>
                </c:pt>
                <c:pt idx="10">
                  <c:v>1.8260667667281596</c:v>
                </c:pt>
                <c:pt idx="11">
                  <c:v>1.7988556452559548</c:v>
                </c:pt>
                <c:pt idx="12">
                  <c:v>1.0723837870397315</c:v>
                </c:pt>
                <c:pt idx="13">
                  <c:v>1.4798978783046743</c:v>
                </c:pt>
                <c:pt idx="14">
                  <c:v>1.8052134669878932</c:v>
                </c:pt>
                <c:pt idx="15">
                  <c:v>0.72071364160606832</c:v>
                </c:pt>
                <c:pt idx="16">
                  <c:v>0.72071364160606832</c:v>
                </c:pt>
                <c:pt idx="17">
                  <c:v>0.74542312655146625</c:v>
                </c:pt>
                <c:pt idx="18">
                  <c:v>0.72071364160606832</c:v>
                </c:pt>
                <c:pt idx="19">
                  <c:v>0.74542312655146625</c:v>
                </c:pt>
                <c:pt idx="20">
                  <c:v>0.78574944277152647</c:v>
                </c:pt>
                <c:pt idx="21">
                  <c:v>0.63246292180432362</c:v>
                </c:pt>
                <c:pt idx="22">
                  <c:v>0.63246292180432362</c:v>
                </c:pt>
                <c:pt idx="23">
                  <c:v>0.63246292180432362</c:v>
                </c:pt>
                <c:pt idx="24">
                  <c:v>0.6393133904560957</c:v>
                </c:pt>
                <c:pt idx="25">
                  <c:v>0.67773573972872381</c:v>
                </c:pt>
                <c:pt idx="26">
                  <c:v>0.73527098208703945</c:v>
                </c:pt>
                <c:pt idx="27">
                  <c:v>0.73527098208703945</c:v>
                </c:pt>
                <c:pt idx="28">
                  <c:v>0.73527098208703945</c:v>
                </c:pt>
                <c:pt idx="29">
                  <c:v>0.61672441532571176</c:v>
                </c:pt>
                <c:pt idx="30">
                  <c:v>0.61672441532571176</c:v>
                </c:pt>
                <c:pt idx="31">
                  <c:v>0.61549076756660259</c:v>
                </c:pt>
                <c:pt idx="32">
                  <c:v>0.61549076756660259</c:v>
                </c:pt>
                <c:pt idx="33">
                  <c:v>0.44636439587282273</c:v>
                </c:pt>
                <c:pt idx="34">
                  <c:v>0.43672177102368237</c:v>
                </c:pt>
                <c:pt idx="35">
                  <c:v>0.44636439587282273</c:v>
                </c:pt>
                <c:pt idx="36">
                  <c:v>1.2217411757422663</c:v>
                </c:pt>
                <c:pt idx="37">
                  <c:v>0.83873492320844489</c:v>
                </c:pt>
                <c:pt idx="38">
                  <c:v>0.63505705933526435</c:v>
                </c:pt>
                <c:pt idx="39">
                  <c:v>0.50911410848114147</c:v>
                </c:pt>
                <c:pt idx="40">
                  <c:v>0.20061288528597068</c:v>
                </c:pt>
                <c:pt idx="41">
                  <c:v>0.20061288528597068</c:v>
                </c:pt>
                <c:pt idx="42">
                  <c:v>0.20061288528597068</c:v>
                </c:pt>
                <c:pt idx="43">
                  <c:v>0.20061288528597068</c:v>
                </c:pt>
                <c:pt idx="44">
                  <c:v>0.60183865585791207</c:v>
                </c:pt>
                <c:pt idx="45">
                  <c:v>0.60183865585791207</c:v>
                </c:pt>
                <c:pt idx="46">
                  <c:v>0.48262195971668448</c:v>
                </c:pt>
                <c:pt idx="47">
                  <c:v>0.48262195971668448</c:v>
                </c:pt>
                <c:pt idx="48">
                  <c:v>0.48262195971668448</c:v>
                </c:pt>
                <c:pt idx="49">
                  <c:v>0.48262195971668448</c:v>
                </c:pt>
                <c:pt idx="50">
                  <c:v>0.48262195971668448</c:v>
                </c:pt>
              </c:numCache>
            </c:numRef>
          </c:xVal>
          <c:yVal>
            <c:numRef>
              <c:f>'old Data'!$D$5:$D$55</c:f>
              <c:numCache>
                <c:formatCode>0.00</c:formatCode>
                <c:ptCount val="51"/>
                <c:pt idx="0">
                  <c:v>1.2422535211267605</c:v>
                </c:pt>
                <c:pt idx="1">
                  <c:v>1.0651828298887123</c:v>
                </c:pt>
                <c:pt idx="2">
                  <c:v>1.070615034168565</c:v>
                </c:pt>
                <c:pt idx="3">
                  <c:v>1.0272727272727273</c:v>
                </c:pt>
                <c:pt idx="4">
                  <c:v>1.4313304721030042</c:v>
                </c:pt>
                <c:pt idx="5">
                  <c:v>1.5931372549019607</c:v>
                </c:pt>
                <c:pt idx="6">
                  <c:v>1.4668874172185431</c:v>
                </c:pt>
                <c:pt idx="7">
                  <c:v>1.4273858921161826</c:v>
                </c:pt>
                <c:pt idx="8">
                  <c:v>1.6291793313069909</c:v>
                </c:pt>
                <c:pt idx="9">
                  <c:v>1.9175257731958764</c:v>
                </c:pt>
                <c:pt idx="10">
                  <c:v>1.5278969957081545</c:v>
                </c:pt>
                <c:pt idx="11">
                  <c:v>1.5340314136125655</c:v>
                </c:pt>
                <c:pt idx="12">
                  <c:v>0.92626728110599077</c:v>
                </c:pt>
                <c:pt idx="13">
                  <c:v>1.1711409395973154</c:v>
                </c:pt>
                <c:pt idx="14">
                  <c:v>1.21875</c:v>
                </c:pt>
                <c:pt idx="15">
                  <c:v>1.2327044025157232</c:v>
                </c:pt>
                <c:pt idx="16">
                  <c:v>1.1832020997375328</c:v>
                </c:pt>
                <c:pt idx="17">
                  <c:v>1.2005698005698004</c:v>
                </c:pt>
                <c:pt idx="18">
                  <c:v>1.1106666666666667</c:v>
                </c:pt>
                <c:pt idx="19">
                  <c:v>1.1894586894586894</c:v>
                </c:pt>
                <c:pt idx="20">
                  <c:v>1.2987730061349692</c:v>
                </c:pt>
                <c:pt idx="21">
                  <c:v>1.2214076246334311</c:v>
                </c:pt>
                <c:pt idx="22">
                  <c:v>1.2610655737704917</c:v>
                </c:pt>
                <c:pt idx="23">
                  <c:v>1.3</c:v>
                </c:pt>
                <c:pt idx="24">
                  <c:v>1.1061386138613862</c:v>
                </c:pt>
                <c:pt idx="25">
                  <c:v>1.2476851851851851</c:v>
                </c:pt>
                <c:pt idx="26">
                  <c:v>1.1591397849462366</c:v>
                </c:pt>
                <c:pt idx="27">
                  <c:v>1.0354716981132075</c:v>
                </c:pt>
                <c:pt idx="28">
                  <c:v>1.2607407407407407</c:v>
                </c:pt>
                <c:pt idx="29">
                  <c:v>1.2003550295857988</c:v>
                </c:pt>
                <c:pt idx="30">
                  <c:v>1.1463623395149787</c:v>
                </c:pt>
                <c:pt idx="31">
                  <c:v>1.1835748792270531</c:v>
                </c:pt>
                <c:pt idx="32">
                  <c:v>1.0832358674463938</c:v>
                </c:pt>
                <c:pt idx="33">
                  <c:v>1.214218009478673</c:v>
                </c:pt>
                <c:pt idx="34">
                  <c:v>1.1843023255813954</c:v>
                </c:pt>
                <c:pt idx="35">
                  <c:v>1.2077464788732395</c:v>
                </c:pt>
                <c:pt idx="36">
                  <c:v>1.7908101571946795</c:v>
                </c:pt>
                <c:pt idx="37">
                  <c:v>1.1784922394678492</c:v>
                </c:pt>
                <c:pt idx="38">
                  <c:v>1.0194242108914324</c:v>
                </c:pt>
                <c:pt idx="39">
                  <c:v>0.77186791025964208</c:v>
                </c:pt>
                <c:pt idx="40">
                  <c:v>1.0198830409356725</c:v>
                </c:pt>
                <c:pt idx="41">
                  <c:v>0.94970760233918128</c:v>
                </c:pt>
                <c:pt idx="42">
                  <c:v>0.87179487179487181</c:v>
                </c:pt>
                <c:pt idx="43">
                  <c:v>0.82321187584345479</c:v>
                </c:pt>
                <c:pt idx="44">
                  <c:v>0.86787564766839376</c:v>
                </c:pt>
                <c:pt idx="45">
                  <c:v>0.82041343669250644</c:v>
                </c:pt>
                <c:pt idx="46">
                  <c:v>0.72175211548033846</c:v>
                </c:pt>
                <c:pt idx="47">
                  <c:v>0.70328031809145131</c:v>
                </c:pt>
                <c:pt idx="48">
                  <c:v>0.74763563962170232</c:v>
                </c:pt>
                <c:pt idx="49">
                  <c:v>0.76482311908320877</c:v>
                </c:pt>
                <c:pt idx="50">
                  <c:v>0.80798004987531169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76-45AE-A3BB-5D11E07103FB}"/>
            </c:ext>
          </c:extLst>
        </c:ser>
        <c:ser>
          <c:idx val="1"/>
          <c:order val="1"/>
          <c:tx>
            <c:v> Zhang &amp; Guo (26)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Summary!$N$8:$N$33</c:f>
              <c:numCache>
                <c:formatCode>0.000</c:formatCode>
                <c:ptCount val="26"/>
                <c:pt idx="0">
                  <c:v>0.3410282576984463</c:v>
                </c:pt>
                <c:pt idx="1">
                  <c:v>0.67928099931572417</c:v>
                </c:pt>
                <c:pt idx="2">
                  <c:v>0.96070067397888215</c:v>
                </c:pt>
                <c:pt idx="3">
                  <c:v>0.30906522182226848</c:v>
                </c:pt>
                <c:pt idx="4">
                  <c:v>0.62976929691595773</c:v>
                </c:pt>
                <c:pt idx="5">
                  <c:v>0.88366461780553074</c:v>
                </c:pt>
                <c:pt idx="6">
                  <c:v>0.33517982581343864</c:v>
                </c:pt>
                <c:pt idx="7">
                  <c:v>0.66241583984742491</c:v>
                </c:pt>
                <c:pt idx="8">
                  <c:v>0.33283477163111186</c:v>
                </c:pt>
                <c:pt idx="9">
                  <c:v>0.65577338238488359</c:v>
                </c:pt>
                <c:pt idx="10">
                  <c:v>0.33674766586848381</c:v>
                </c:pt>
                <c:pt idx="11">
                  <c:v>0.34217043995473634</c:v>
                </c:pt>
                <c:pt idx="12">
                  <c:v>0.67808138274989027</c:v>
                </c:pt>
                <c:pt idx="13">
                  <c:v>0.96507962822823001</c:v>
                </c:pt>
                <c:pt idx="14">
                  <c:v>0.31307018776539841</c:v>
                </c:pt>
                <c:pt idx="15">
                  <c:v>0.31382431602698724</c:v>
                </c:pt>
                <c:pt idx="16">
                  <c:v>0.62698434711607742</c:v>
                </c:pt>
                <c:pt idx="17">
                  <c:v>0.88591727760026107</c:v>
                </c:pt>
                <c:pt idx="18">
                  <c:v>0.33179805940563517</c:v>
                </c:pt>
                <c:pt idx="19">
                  <c:v>0.33520620816081681</c:v>
                </c:pt>
                <c:pt idx="20">
                  <c:v>0.33337701971088995</c:v>
                </c:pt>
                <c:pt idx="21">
                  <c:v>0.66327543026075264</c:v>
                </c:pt>
                <c:pt idx="22">
                  <c:v>0.3062463971650255</c:v>
                </c:pt>
                <c:pt idx="23">
                  <c:v>0.61234096380483105</c:v>
                </c:pt>
                <c:pt idx="24">
                  <c:v>0.33120569391179372</c:v>
                </c:pt>
                <c:pt idx="25">
                  <c:v>0.66010240020166244</c:v>
                </c:pt>
              </c:numCache>
            </c:numRef>
          </c:xVal>
          <c:yVal>
            <c:numRef>
              <c:f>Summary!$Z$8:$Z$33</c:f>
              <c:numCache>
                <c:formatCode>0.00</c:formatCode>
                <c:ptCount val="26"/>
                <c:pt idx="0">
                  <c:v>1.2570817744521645</c:v>
                </c:pt>
                <c:pt idx="1">
                  <c:v>1.333975594091201</c:v>
                </c:pt>
                <c:pt idx="2">
                  <c:v>1.2464</c:v>
                </c:pt>
                <c:pt idx="3">
                  <c:v>1.1989843028624192</c:v>
                </c:pt>
                <c:pt idx="4">
                  <c:v>1.255801687763713</c:v>
                </c:pt>
                <c:pt idx="5">
                  <c:v>1.0389527458492975</c:v>
                </c:pt>
                <c:pt idx="6">
                  <c:v>1.2156962025316456</c:v>
                </c:pt>
                <c:pt idx="7">
                  <c:v>1.3166089965397925</c:v>
                </c:pt>
                <c:pt idx="8">
                  <c:v>1.2734299516908212</c:v>
                </c:pt>
                <c:pt idx="9">
                  <c:v>1.2295782167645488</c:v>
                </c:pt>
                <c:pt idx="10">
                  <c:v>1.1923076923076923</c:v>
                </c:pt>
                <c:pt idx="11">
                  <c:v>1.1768607221812823</c:v>
                </c:pt>
                <c:pt idx="12">
                  <c:v>1.2144899904671116</c:v>
                </c:pt>
                <c:pt idx="13">
                  <c:v>1.353956834532374</c:v>
                </c:pt>
                <c:pt idx="14">
                  <c:v>1.1355252606255013</c:v>
                </c:pt>
                <c:pt idx="15">
                  <c:v>1.176361386138614</c:v>
                </c:pt>
                <c:pt idx="16">
                  <c:v>1.0999275887038378</c:v>
                </c:pt>
                <c:pt idx="17">
                  <c:v>1.0877712031558184</c:v>
                </c:pt>
                <c:pt idx="18">
                  <c:v>1.2321083172147003</c:v>
                </c:pt>
                <c:pt idx="19">
                  <c:v>1.173951048951049</c:v>
                </c:pt>
                <c:pt idx="20">
                  <c:v>1.0633074935400517</c:v>
                </c:pt>
                <c:pt idx="21">
                  <c:v>1.2425665101721439</c:v>
                </c:pt>
                <c:pt idx="22">
                  <c:v>1.1320132013201321</c:v>
                </c:pt>
                <c:pt idx="23">
                  <c:v>1.1788036410923277</c:v>
                </c:pt>
                <c:pt idx="24">
                  <c:v>1.149624060150376</c:v>
                </c:pt>
                <c:pt idx="25">
                  <c:v>1.3496076721883175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76-45AE-A3BB-5D11E07103FB}"/>
            </c:ext>
          </c:extLst>
        </c:ser>
        <c:ser>
          <c:idx val="2"/>
          <c:order val="2"/>
          <c:tx>
            <c:v> Guo (5)</c:v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Summary!$N$37:$N$41</c:f>
              <c:numCache>
                <c:formatCode>0.000</c:formatCode>
                <c:ptCount val="5"/>
                <c:pt idx="0">
                  <c:v>0.64860245694050633</c:v>
                </c:pt>
                <c:pt idx="1">
                  <c:v>0.65444032101402072</c:v>
                </c:pt>
                <c:pt idx="2">
                  <c:v>0.11561814100716455</c:v>
                </c:pt>
                <c:pt idx="3">
                  <c:v>0.16485262439008871</c:v>
                </c:pt>
                <c:pt idx="4">
                  <c:v>0.21859377325569035</c:v>
                </c:pt>
              </c:numCache>
            </c:numRef>
          </c:xVal>
          <c:yVal>
            <c:numRef>
              <c:f>Summary!$Z$37:$Z$41</c:f>
              <c:numCache>
                <c:formatCode>0.00</c:formatCode>
                <c:ptCount val="5"/>
                <c:pt idx="0">
                  <c:v>1.3257936507936507</c:v>
                </c:pt>
                <c:pt idx="1">
                  <c:v>1.0811881188118813</c:v>
                </c:pt>
                <c:pt idx="2">
                  <c:v>1.1199792960662527</c:v>
                </c:pt>
                <c:pt idx="3">
                  <c:v>1.2323741007194244</c:v>
                </c:pt>
                <c:pt idx="4">
                  <c:v>1.1688838782412627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476-45AE-A3BB-5D11E07103FB}"/>
            </c:ext>
          </c:extLst>
        </c:ser>
        <c:ser>
          <c:idx val="3"/>
          <c:order val="3"/>
          <c:tx>
            <c:v> Liu (12)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Summary!$N$45:$N$56</c:f>
              <c:numCache>
                <c:formatCode>0.000</c:formatCode>
                <c:ptCount val="12"/>
                <c:pt idx="0">
                  <c:v>0.27542075287035334</c:v>
                </c:pt>
                <c:pt idx="1">
                  <c:v>0.28357265176046326</c:v>
                </c:pt>
                <c:pt idx="2">
                  <c:v>0.68696900428582375</c:v>
                </c:pt>
                <c:pt idx="3">
                  <c:v>0.70730190151747729</c:v>
                </c:pt>
                <c:pt idx="4">
                  <c:v>0.39980600066417643</c:v>
                </c:pt>
                <c:pt idx="5">
                  <c:v>0.41155983575159855</c:v>
                </c:pt>
                <c:pt idx="6">
                  <c:v>0.98842125780495604</c:v>
                </c:pt>
                <c:pt idx="7">
                  <c:v>1.0110374833662223</c:v>
                </c:pt>
                <c:pt idx="8">
                  <c:v>0.51959158312735121</c:v>
                </c:pt>
                <c:pt idx="9">
                  <c:v>0.53434526464672538</c:v>
                </c:pt>
                <c:pt idx="10">
                  <c:v>1.2929713296250553</c:v>
                </c:pt>
                <c:pt idx="11">
                  <c:v>1.324985843141453</c:v>
                </c:pt>
              </c:numCache>
            </c:numRef>
          </c:xVal>
          <c:yVal>
            <c:numRef>
              <c:f>Summary!$Z$45:$Z$56</c:f>
              <c:numCache>
                <c:formatCode>0.00</c:formatCode>
                <c:ptCount val="12"/>
                <c:pt idx="0">
                  <c:v>1.0756410256410256</c:v>
                </c:pt>
                <c:pt idx="1">
                  <c:v>1.1144578313253013</c:v>
                </c:pt>
                <c:pt idx="2">
                  <c:v>1.0580747812251392</c:v>
                </c:pt>
                <c:pt idx="3">
                  <c:v>1.1643835616438356</c:v>
                </c:pt>
                <c:pt idx="4">
                  <c:v>1.2373096446700507</c:v>
                </c:pt>
                <c:pt idx="5">
                  <c:v>1.0654205607476634</c:v>
                </c:pt>
                <c:pt idx="6">
                  <c:v>1.0945273631840795</c:v>
                </c:pt>
                <c:pt idx="7">
                  <c:v>1.4297658862876255</c:v>
                </c:pt>
                <c:pt idx="8">
                  <c:v>1.1812443642921551</c:v>
                </c:pt>
                <c:pt idx="9">
                  <c:v>1.2569832402234637</c:v>
                </c:pt>
                <c:pt idx="10">
                  <c:v>1.7048346055979644</c:v>
                </c:pt>
                <c:pt idx="11">
                  <c:v>1.9502868068833652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476-45AE-A3BB-5D11E07103FB}"/>
            </c:ext>
          </c:extLst>
        </c:ser>
        <c:ser>
          <c:idx val="4"/>
          <c:order val="4"/>
          <c:tx>
            <c:v> Guo &amp; Zhang (2)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Summary!$N$64:$N$65</c:f>
              <c:numCache>
                <c:formatCode>0.000</c:formatCode>
                <c:ptCount val="2"/>
                <c:pt idx="0">
                  <c:v>0.65958090802342229</c:v>
                </c:pt>
                <c:pt idx="1">
                  <c:v>0.36361481689342562</c:v>
                </c:pt>
              </c:numCache>
            </c:numRef>
          </c:xVal>
          <c:yVal>
            <c:numRef>
              <c:f>Summary!$Z$64:$Z$65</c:f>
              <c:numCache>
                <c:formatCode>0.00</c:formatCode>
                <c:ptCount val="2"/>
                <c:pt idx="0">
                  <c:v>1.2570332480818414</c:v>
                </c:pt>
                <c:pt idx="1">
                  <c:v>1.1696428571428572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476-45AE-A3BB-5D11E0710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783823"/>
        <c:axId val="1"/>
      </c:scatterChart>
      <c:valAx>
        <c:axId val="1526783823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Slenderness   SQRT(NplR/Ncrit)</a:t>
                </a:r>
              </a:p>
            </c:rich>
          </c:tx>
          <c:layout>
            <c:manualLayout>
              <c:xMode val="edge"/>
              <c:yMode val="edge"/>
              <c:x val="0.40399556048834628"/>
              <c:y val="0.93800978792822187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Test/EC4 (second order analysis)</a:t>
                </a:r>
              </a:p>
            </c:rich>
          </c:tx>
          <c:layout>
            <c:manualLayout>
              <c:xMode val="edge"/>
              <c:yMode val="edge"/>
              <c:x val="1.5538290788013319E-2"/>
              <c:y val="0.3262642740619902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26783823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694783573806878"/>
          <c:y val="0.69657422512234912"/>
          <c:w val="0.19533851276359601"/>
          <c:h val="0.1761827079934747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Long Rectgular CFST Columns with Moment   Ratio Test/EC4 v Concrete strength</a:t>
            </a:r>
          </a:p>
        </c:rich>
      </c:tx>
      <c:layout>
        <c:manualLayout>
          <c:xMode val="edge"/>
          <c:yMode val="edge"/>
          <c:x val="0.17647058823529413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66E-2"/>
          <c:y val="0.10929853181076672"/>
          <c:w val="0.87014428412874589"/>
          <c:h val="0.78303425774877655"/>
        </c:manualLayout>
      </c:layout>
      <c:scatterChart>
        <c:scatterStyle val="lineMarker"/>
        <c:varyColors val="0"/>
        <c:ser>
          <c:idx val="0"/>
          <c:order val="0"/>
          <c:tx>
            <c:v> Old Data (51)</c:v>
          </c:tx>
          <c:spPr>
            <a:ln w="1905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'old Data'!$F$5:$F$55</c:f>
              <c:numCache>
                <c:formatCode>General</c:formatCode>
                <c:ptCount val="51"/>
                <c:pt idx="0">
                  <c:v>36.08</c:v>
                </c:pt>
                <c:pt idx="1">
                  <c:v>37.76</c:v>
                </c:pt>
                <c:pt idx="2">
                  <c:v>38.479999999999997</c:v>
                </c:pt>
                <c:pt idx="3">
                  <c:v>37.92</c:v>
                </c:pt>
                <c:pt idx="4">
                  <c:v>37.6</c:v>
                </c:pt>
                <c:pt idx="5">
                  <c:v>38.159999999999997</c:v>
                </c:pt>
                <c:pt idx="6">
                  <c:v>38.64</c:v>
                </c:pt>
                <c:pt idx="7">
                  <c:v>38.56</c:v>
                </c:pt>
                <c:pt idx="8">
                  <c:v>36.56</c:v>
                </c:pt>
                <c:pt idx="9">
                  <c:v>37.04</c:v>
                </c:pt>
                <c:pt idx="10">
                  <c:v>37.840000000000003</c:v>
                </c:pt>
                <c:pt idx="11">
                  <c:v>38</c:v>
                </c:pt>
                <c:pt idx="12">
                  <c:v>41.2</c:v>
                </c:pt>
                <c:pt idx="13">
                  <c:v>36.56</c:v>
                </c:pt>
                <c:pt idx="14">
                  <c:v>37.76</c:v>
                </c:pt>
                <c:pt idx="15" formatCode="0.00">
                  <c:v>15.144</c:v>
                </c:pt>
                <c:pt idx="16" formatCode="0.00">
                  <c:v>15.144</c:v>
                </c:pt>
                <c:pt idx="17" formatCode="0.00">
                  <c:v>20.368000000000002</c:v>
                </c:pt>
                <c:pt idx="18" formatCode="0.00">
                  <c:v>15.144</c:v>
                </c:pt>
                <c:pt idx="19" formatCode="0.00">
                  <c:v>20.368000000000002</c:v>
                </c:pt>
                <c:pt idx="20" formatCode="0.00">
                  <c:v>29.28</c:v>
                </c:pt>
                <c:pt idx="21" formatCode="0.00">
                  <c:v>18.84</c:v>
                </c:pt>
                <c:pt idx="22" formatCode="0.00">
                  <c:v>18.84</c:v>
                </c:pt>
                <c:pt idx="23" formatCode="0.00">
                  <c:v>18.84</c:v>
                </c:pt>
                <c:pt idx="24" formatCode="0.00">
                  <c:v>20.368000000000002</c:v>
                </c:pt>
                <c:pt idx="25" formatCode="0.00">
                  <c:v>29.28</c:v>
                </c:pt>
                <c:pt idx="26" formatCode="0.00">
                  <c:v>18.84</c:v>
                </c:pt>
                <c:pt idx="27" formatCode="0.00">
                  <c:v>18.84</c:v>
                </c:pt>
                <c:pt idx="28" formatCode="0.00">
                  <c:v>18.84</c:v>
                </c:pt>
                <c:pt idx="29" formatCode="0.00">
                  <c:v>15.375999999999999</c:v>
                </c:pt>
                <c:pt idx="30" formatCode="0.00">
                  <c:v>15.375999999999999</c:v>
                </c:pt>
                <c:pt idx="31" formatCode="0.00">
                  <c:v>15.008000000000003</c:v>
                </c:pt>
                <c:pt idx="32" formatCode="0.00">
                  <c:v>15.008000000000003</c:v>
                </c:pt>
                <c:pt idx="33" formatCode="0.00">
                  <c:v>21.416</c:v>
                </c:pt>
                <c:pt idx="34" formatCode="0.00">
                  <c:v>18.231999999999999</c:v>
                </c:pt>
                <c:pt idx="35" formatCode="0.00">
                  <c:v>21.416</c:v>
                </c:pt>
                <c:pt idx="36">
                  <c:v>20.34</c:v>
                </c:pt>
                <c:pt idx="37">
                  <c:v>20.34</c:v>
                </c:pt>
                <c:pt idx="38">
                  <c:v>20.34</c:v>
                </c:pt>
                <c:pt idx="39">
                  <c:v>20.34</c:v>
                </c:pt>
                <c:pt idx="40">
                  <c:v>18.46</c:v>
                </c:pt>
                <c:pt idx="41">
                  <c:v>18.46</c:v>
                </c:pt>
                <c:pt idx="42">
                  <c:v>18.46</c:v>
                </c:pt>
                <c:pt idx="43">
                  <c:v>18.46</c:v>
                </c:pt>
                <c:pt idx="44">
                  <c:v>18.46</c:v>
                </c:pt>
                <c:pt idx="45">
                  <c:v>18.46</c:v>
                </c:pt>
                <c:pt idx="46">
                  <c:v>46.8</c:v>
                </c:pt>
                <c:pt idx="47">
                  <c:v>46.8</c:v>
                </c:pt>
                <c:pt idx="48">
                  <c:v>46.8</c:v>
                </c:pt>
                <c:pt idx="49">
                  <c:v>46.8</c:v>
                </c:pt>
                <c:pt idx="50">
                  <c:v>46.8</c:v>
                </c:pt>
              </c:numCache>
            </c:numRef>
          </c:xVal>
          <c:yVal>
            <c:numRef>
              <c:f>'old Data'!$D$5:$D$55</c:f>
              <c:numCache>
                <c:formatCode>0.00</c:formatCode>
                <c:ptCount val="51"/>
                <c:pt idx="0">
                  <c:v>1.2422535211267605</c:v>
                </c:pt>
                <c:pt idx="1">
                  <c:v>1.0651828298887123</c:v>
                </c:pt>
                <c:pt idx="2">
                  <c:v>1.070615034168565</c:v>
                </c:pt>
                <c:pt idx="3">
                  <c:v>1.0272727272727273</c:v>
                </c:pt>
                <c:pt idx="4">
                  <c:v>1.4313304721030042</c:v>
                </c:pt>
                <c:pt idx="5">
                  <c:v>1.5931372549019607</c:v>
                </c:pt>
                <c:pt idx="6">
                  <c:v>1.4668874172185431</c:v>
                </c:pt>
                <c:pt idx="7">
                  <c:v>1.4273858921161826</c:v>
                </c:pt>
                <c:pt idx="8">
                  <c:v>1.6291793313069909</c:v>
                </c:pt>
                <c:pt idx="9">
                  <c:v>1.9175257731958764</c:v>
                </c:pt>
                <c:pt idx="10">
                  <c:v>1.5278969957081545</c:v>
                </c:pt>
                <c:pt idx="11">
                  <c:v>1.5340314136125655</c:v>
                </c:pt>
                <c:pt idx="12">
                  <c:v>0.92626728110599077</c:v>
                </c:pt>
                <c:pt idx="13">
                  <c:v>1.1711409395973154</c:v>
                </c:pt>
                <c:pt idx="14">
                  <c:v>1.21875</c:v>
                </c:pt>
                <c:pt idx="15">
                  <c:v>1.2327044025157232</c:v>
                </c:pt>
                <c:pt idx="16">
                  <c:v>1.1832020997375328</c:v>
                </c:pt>
                <c:pt idx="17">
                  <c:v>1.2005698005698004</c:v>
                </c:pt>
                <c:pt idx="18">
                  <c:v>1.1106666666666667</c:v>
                </c:pt>
                <c:pt idx="19">
                  <c:v>1.1894586894586894</c:v>
                </c:pt>
                <c:pt idx="20">
                  <c:v>1.2987730061349692</c:v>
                </c:pt>
                <c:pt idx="21">
                  <c:v>1.2214076246334311</c:v>
                </c:pt>
                <c:pt idx="22">
                  <c:v>1.2610655737704917</c:v>
                </c:pt>
                <c:pt idx="23">
                  <c:v>1.3</c:v>
                </c:pt>
                <c:pt idx="24">
                  <c:v>1.1061386138613862</c:v>
                </c:pt>
                <c:pt idx="25">
                  <c:v>1.2476851851851851</c:v>
                </c:pt>
                <c:pt idx="26">
                  <c:v>1.1591397849462366</c:v>
                </c:pt>
                <c:pt idx="27">
                  <c:v>1.0354716981132075</c:v>
                </c:pt>
                <c:pt idx="28">
                  <c:v>1.2607407407407407</c:v>
                </c:pt>
                <c:pt idx="29">
                  <c:v>1.2003550295857988</c:v>
                </c:pt>
                <c:pt idx="30">
                  <c:v>1.1463623395149787</c:v>
                </c:pt>
                <c:pt idx="31">
                  <c:v>1.1835748792270531</c:v>
                </c:pt>
                <c:pt idx="32">
                  <c:v>1.0832358674463938</c:v>
                </c:pt>
                <c:pt idx="33">
                  <c:v>1.214218009478673</c:v>
                </c:pt>
                <c:pt idx="34">
                  <c:v>1.1843023255813954</c:v>
                </c:pt>
                <c:pt idx="35">
                  <c:v>1.2077464788732395</c:v>
                </c:pt>
                <c:pt idx="36">
                  <c:v>1.7908101571946795</c:v>
                </c:pt>
                <c:pt idx="37">
                  <c:v>1.1784922394678492</c:v>
                </c:pt>
                <c:pt idx="38">
                  <c:v>1.0194242108914324</c:v>
                </c:pt>
                <c:pt idx="39">
                  <c:v>0.77186791025964208</c:v>
                </c:pt>
                <c:pt idx="40">
                  <c:v>1.0198830409356725</c:v>
                </c:pt>
                <c:pt idx="41">
                  <c:v>0.94970760233918128</c:v>
                </c:pt>
                <c:pt idx="42">
                  <c:v>0.87179487179487181</c:v>
                </c:pt>
                <c:pt idx="43">
                  <c:v>0.82321187584345479</c:v>
                </c:pt>
                <c:pt idx="44">
                  <c:v>0.86787564766839376</c:v>
                </c:pt>
                <c:pt idx="45">
                  <c:v>0.82041343669250644</c:v>
                </c:pt>
                <c:pt idx="46">
                  <c:v>0.72175211548033846</c:v>
                </c:pt>
                <c:pt idx="47">
                  <c:v>0.70328031809145131</c:v>
                </c:pt>
                <c:pt idx="48">
                  <c:v>0.74763563962170232</c:v>
                </c:pt>
                <c:pt idx="49">
                  <c:v>0.76482311908320877</c:v>
                </c:pt>
                <c:pt idx="50">
                  <c:v>0.80798004987531169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98-401F-A04C-651489549569}"/>
            </c:ext>
          </c:extLst>
        </c:ser>
        <c:ser>
          <c:idx val="1"/>
          <c:order val="1"/>
          <c:tx>
            <c:v> Zhang &amp; Guo (26)</c:v>
          </c:tx>
          <c:spPr>
            <a:ln w="19050">
              <a:noFill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Summary!$H$8:$H$33</c:f>
              <c:numCache>
                <c:formatCode>General</c:formatCode>
                <c:ptCount val="26"/>
                <c:pt idx="0">
                  <c:v>68.5</c:v>
                </c:pt>
                <c:pt idx="1">
                  <c:v>68.5</c:v>
                </c:pt>
                <c:pt idx="2">
                  <c:v>68.5</c:v>
                </c:pt>
                <c:pt idx="3">
                  <c:v>68.5</c:v>
                </c:pt>
                <c:pt idx="4">
                  <c:v>68.5</c:v>
                </c:pt>
                <c:pt idx="5">
                  <c:v>68.5</c:v>
                </c:pt>
                <c:pt idx="6">
                  <c:v>68.5</c:v>
                </c:pt>
                <c:pt idx="7">
                  <c:v>68.5</c:v>
                </c:pt>
                <c:pt idx="8">
                  <c:v>68.5</c:v>
                </c:pt>
                <c:pt idx="9">
                  <c:v>68.5</c:v>
                </c:pt>
                <c:pt idx="10">
                  <c:v>68.5</c:v>
                </c:pt>
                <c:pt idx="11">
                  <c:v>68.5</c:v>
                </c:pt>
                <c:pt idx="12">
                  <c:v>68.5</c:v>
                </c:pt>
                <c:pt idx="13">
                  <c:v>68.5</c:v>
                </c:pt>
                <c:pt idx="14">
                  <c:v>68.5</c:v>
                </c:pt>
                <c:pt idx="15">
                  <c:v>68.5</c:v>
                </c:pt>
                <c:pt idx="16">
                  <c:v>68.5</c:v>
                </c:pt>
                <c:pt idx="17">
                  <c:v>68.5</c:v>
                </c:pt>
                <c:pt idx="18">
                  <c:v>68.5</c:v>
                </c:pt>
                <c:pt idx="19">
                  <c:v>68.5</c:v>
                </c:pt>
                <c:pt idx="20">
                  <c:v>68.5</c:v>
                </c:pt>
                <c:pt idx="21">
                  <c:v>68.5</c:v>
                </c:pt>
                <c:pt idx="22">
                  <c:v>68.5</c:v>
                </c:pt>
                <c:pt idx="23">
                  <c:v>68.5</c:v>
                </c:pt>
                <c:pt idx="24">
                  <c:v>68.5</c:v>
                </c:pt>
                <c:pt idx="25">
                  <c:v>68.5</c:v>
                </c:pt>
              </c:numCache>
            </c:numRef>
          </c:xVal>
          <c:yVal>
            <c:numRef>
              <c:f>Summary!$Z$8:$Z$33</c:f>
              <c:numCache>
                <c:formatCode>0.00</c:formatCode>
                <c:ptCount val="26"/>
                <c:pt idx="0">
                  <c:v>1.2570817744521645</c:v>
                </c:pt>
                <c:pt idx="1">
                  <c:v>1.333975594091201</c:v>
                </c:pt>
                <c:pt idx="2">
                  <c:v>1.2464</c:v>
                </c:pt>
                <c:pt idx="3">
                  <c:v>1.1989843028624192</c:v>
                </c:pt>
                <c:pt idx="4">
                  <c:v>1.255801687763713</c:v>
                </c:pt>
                <c:pt idx="5">
                  <c:v>1.0389527458492975</c:v>
                </c:pt>
                <c:pt idx="6">
                  <c:v>1.2156962025316456</c:v>
                </c:pt>
                <c:pt idx="7">
                  <c:v>1.3166089965397925</c:v>
                </c:pt>
                <c:pt idx="8">
                  <c:v>1.2734299516908212</c:v>
                </c:pt>
                <c:pt idx="9">
                  <c:v>1.2295782167645488</c:v>
                </c:pt>
                <c:pt idx="10">
                  <c:v>1.1923076923076923</c:v>
                </c:pt>
                <c:pt idx="11">
                  <c:v>1.1768607221812823</c:v>
                </c:pt>
                <c:pt idx="12">
                  <c:v>1.2144899904671116</c:v>
                </c:pt>
                <c:pt idx="13">
                  <c:v>1.353956834532374</c:v>
                </c:pt>
                <c:pt idx="14">
                  <c:v>1.1355252606255013</c:v>
                </c:pt>
                <c:pt idx="15">
                  <c:v>1.176361386138614</c:v>
                </c:pt>
                <c:pt idx="16">
                  <c:v>1.0999275887038378</c:v>
                </c:pt>
                <c:pt idx="17">
                  <c:v>1.0877712031558184</c:v>
                </c:pt>
                <c:pt idx="18">
                  <c:v>1.2321083172147003</c:v>
                </c:pt>
                <c:pt idx="19">
                  <c:v>1.173951048951049</c:v>
                </c:pt>
                <c:pt idx="20">
                  <c:v>1.0633074935400517</c:v>
                </c:pt>
                <c:pt idx="21">
                  <c:v>1.2425665101721439</c:v>
                </c:pt>
                <c:pt idx="22">
                  <c:v>1.1320132013201321</c:v>
                </c:pt>
                <c:pt idx="23">
                  <c:v>1.1788036410923277</c:v>
                </c:pt>
                <c:pt idx="24">
                  <c:v>1.149624060150376</c:v>
                </c:pt>
                <c:pt idx="25">
                  <c:v>1.3496076721883175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98-401F-A04C-651489549569}"/>
            </c:ext>
          </c:extLst>
        </c:ser>
        <c:ser>
          <c:idx val="2"/>
          <c:order val="2"/>
          <c:tx>
            <c:v> Guo (5)</c:v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Summary!$H$37:$H$41</c:f>
              <c:numCache>
                <c:formatCode>General</c:formatCode>
                <c:ptCount val="5"/>
                <c:pt idx="0">
                  <c:v>41.8</c:v>
                </c:pt>
                <c:pt idx="1">
                  <c:v>41.8</c:v>
                </c:pt>
                <c:pt idx="2">
                  <c:v>41.8</c:v>
                </c:pt>
                <c:pt idx="3">
                  <c:v>41.8</c:v>
                </c:pt>
                <c:pt idx="4">
                  <c:v>41.8</c:v>
                </c:pt>
              </c:numCache>
            </c:numRef>
          </c:xVal>
          <c:yVal>
            <c:numRef>
              <c:f>Summary!$Z$37:$Z$41</c:f>
              <c:numCache>
                <c:formatCode>0.00</c:formatCode>
                <c:ptCount val="5"/>
                <c:pt idx="0">
                  <c:v>1.3257936507936507</c:v>
                </c:pt>
                <c:pt idx="1">
                  <c:v>1.0811881188118813</c:v>
                </c:pt>
                <c:pt idx="2">
                  <c:v>1.1199792960662527</c:v>
                </c:pt>
                <c:pt idx="3">
                  <c:v>1.2323741007194244</c:v>
                </c:pt>
                <c:pt idx="4">
                  <c:v>1.1688838782412627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98-401F-A04C-651489549569}"/>
            </c:ext>
          </c:extLst>
        </c:ser>
        <c:ser>
          <c:idx val="3"/>
          <c:order val="3"/>
          <c:tx>
            <c:v> Liu (12)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Summary!$H$45:$H$56</c:f>
              <c:numCache>
                <c:formatCode>General</c:formatCode>
                <c:ptCount val="12"/>
                <c:pt idx="0">
                  <c:v>56.64</c:v>
                </c:pt>
                <c:pt idx="1">
                  <c:v>65.679999999999993</c:v>
                </c:pt>
                <c:pt idx="2">
                  <c:v>56.64</c:v>
                </c:pt>
                <c:pt idx="3">
                  <c:v>65.679999999999993</c:v>
                </c:pt>
                <c:pt idx="4">
                  <c:v>56.64</c:v>
                </c:pt>
                <c:pt idx="5">
                  <c:v>65.679999999999993</c:v>
                </c:pt>
                <c:pt idx="6">
                  <c:v>56.64</c:v>
                </c:pt>
                <c:pt idx="7">
                  <c:v>65.679999999999993</c:v>
                </c:pt>
                <c:pt idx="8">
                  <c:v>56.64</c:v>
                </c:pt>
                <c:pt idx="9">
                  <c:v>65.679999999999993</c:v>
                </c:pt>
                <c:pt idx="10">
                  <c:v>56.64</c:v>
                </c:pt>
                <c:pt idx="11">
                  <c:v>65.679999999999993</c:v>
                </c:pt>
              </c:numCache>
            </c:numRef>
          </c:xVal>
          <c:yVal>
            <c:numRef>
              <c:f>Summary!$Z$45:$Z$56</c:f>
              <c:numCache>
                <c:formatCode>0.00</c:formatCode>
                <c:ptCount val="12"/>
                <c:pt idx="0">
                  <c:v>1.0756410256410256</c:v>
                </c:pt>
                <c:pt idx="1">
                  <c:v>1.1144578313253013</c:v>
                </c:pt>
                <c:pt idx="2">
                  <c:v>1.0580747812251392</c:v>
                </c:pt>
                <c:pt idx="3">
                  <c:v>1.1643835616438356</c:v>
                </c:pt>
                <c:pt idx="4">
                  <c:v>1.2373096446700507</c:v>
                </c:pt>
                <c:pt idx="5">
                  <c:v>1.0654205607476634</c:v>
                </c:pt>
                <c:pt idx="6">
                  <c:v>1.0945273631840795</c:v>
                </c:pt>
                <c:pt idx="7">
                  <c:v>1.4297658862876255</c:v>
                </c:pt>
                <c:pt idx="8">
                  <c:v>1.1812443642921551</c:v>
                </c:pt>
                <c:pt idx="9">
                  <c:v>1.2569832402234637</c:v>
                </c:pt>
                <c:pt idx="10">
                  <c:v>1.7048346055979644</c:v>
                </c:pt>
                <c:pt idx="11">
                  <c:v>1.9502868068833652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C98-401F-A04C-651489549569}"/>
            </c:ext>
          </c:extLst>
        </c:ser>
        <c:ser>
          <c:idx val="4"/>
          <c:order val="4"/>
          <c:tx>
            <c:v> Guo &amp; Zhang (2)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Summary!$H$64:$H$65</c:f>
              <c:numCache>
                <c:formatCode>General</c:formatCode>
                <c:ptCount val="2"/>
                <c:pt idx="0">
                  <c:v>44</c:v>
                </c:pt>
                <c:pt idx="1">
                  <c:v>44</c:v>
                </c:pt>
              </c:numCache>
            </c:numRef>
          </c:xVal>
          <c:yVal>
            <c:numRef>
              <c:f>Summary!$Z$64:$Z$65</c:f>
              <c:numCache>
                <c:formatCode>0.00</c:formatCode>
                <c:ptCount val="2"/>
                <c:pt idx="0">
                  <c:v>1.2570332480818414</c:v>
                </c:pt>
                <c:pt idx="1">
                  <c:v>1.1696428571428572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C98-401F-A04C-651489549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6786735"/>
        <c:axId val="1"/>
      </c:scatterChart>
      <c:valAx>
        <c:axId val="1526786735"/>
        <c:scaling>
          <c:orientation val="minMax"/>
          <c:max val="7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Concrete cylinder strength  MPa</a:t>
                </a:r>
              </a:p>
            </c:rich>
          </c:tx>
          <c:layout>
            <c:manualLayout>
              <c:xMode val="edge"/>
              <c:yMode val="edge"/>
              <c:x val="0.38401775804661487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2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Ratio  Test/EC4 (second order analysis)</a:t>
                </a:r>
              </a:p>
            </c:rich>
          </c:tx>
          <c:layout>
            <c:manualLayout>
              <c:xMode val="edge"/>
              <c:yMode val="edge"/>
              <c:x val="1.5538290788013319E-2"/>
              <c:y val="0.2985318107667210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26786735"/>
        <c:crosses val="autoZero"/>
        <c:crossBetween val="midCat"/>
        <c:majorUnit val="0.2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697003329633736"/>
          <c:y val="0.12887438825448613"/>
          <c:w val="0.20421753607103219"/>
          <c:h val="0.223491027732463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63" workbookViewId="0" xr3:uid="{51F8DEE0-4D01-5F28-A812-FC0BD7CAC4A5}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58" workbookViewId="0" xr3:uid="{F9CF3CF3-643B-5BE6-8B46-32C596A47465}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58" workbookViewId="0" xr3:uid="{78B4E459-6924-5F8B-B7BA-2DD04133E49E}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D4098B5A-F746-4260-893F-073E01D838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0.08775</cdr:x>
      <cdr:y>0.12075</cdr:y>
    </cdr:from>
    <cdr:to>
      <cdr:x>0.825</cdr:x>
      <cdr:y>0.89075</cdr:y>
    </cdr:to>
    <cdr:sp macro="" textlink="">
      <cdr:nvSpPr>
        <cdr:cNvPr id="3073" name="Line 1">
          <a:extLst xmlns:a="http://schemas.openxmlformats.org/drawingml/2006/main">
            <a:ext uri="{FF2B5EF4-FFF2-40B4-BE49-F238E27FC236}">
              <a16:creationId xmlns:a16="http://schemas.microsoft.com/office/drawing/2014/main" id="{8333C64C-C735-4FEE-B8F6-F9385C23B87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53073" y="705038"/>
          <a:ext cx="6327098" cy="449589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8811B9D0-1795-4031-9F98-F3E259E558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0.0765</cdr:x>
      <cdr:y>0.66475</cdr:y>
    </cdr:from>
    <cdr:to>
      <cdr:x>0.958</cdr:x>
      <cdr:y>0.66475</cdr:y>
    </cdr:to>
    <cdr:sp macro="" textlink="">
      <cdr:nvSpPr>
        <cdr:cNvPr id="4097" name="Line 1">
          <a:extLst xmlns:a="http://schemas.openxmlformats.org/drawingml/2006/main">
            <a:ext uri="{FF2B5EF4-FFF2-40B4-BE49-F238E27FC236}">
              <a16:creationId xmlns:a16="http://schemas.microsoft.com/office/drawing/2014/main" id="{78C91DA5-18A7-4551-859B-3D5C7DC1445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6525" y="3881359"/>
          <a:ext cx="756505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EE8C8F64-46EA-4B2A-B8E7-3FDDC90D0C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0.0765</cdr:x>
      <cdr:y>0.669</cdr:y>
    </cdr:from>
    <cdr:to>
      <cdr:x>0.9505</cdr:x>
      <cdr:y>0.669</cdr:y>
    </cdr:to>
    <cdr:sp macro="" textlink="">
      <cdr:nvSpPr>
        <cdr:cNvPr id="5122" name="Line 2">
          <a:extLst xmlns:a="http://schemas.openxmlformats.org/drawingml/2006/main">
            <a:ext uri="{FF2B5EF4-FFF2-40B4-BE49-F238E27FC236}">
              <a16:creationId xmlns:a16="http://schemas.microsoft.com/office/drawing/2014/main" id="{460A72E5-A369-466D-8095-A1BE0E461339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6525" y="3906174"/>
          <a:ext cx="750069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0"/>
  <sheetViews>
    <sheetView zoomScaleNormal="100" workbookViewId="0" xr3:uid="{AEA406A1-0E4B-5B11-9CD5-51D6E497D94C}">
      <pane xSplit="1" ySplit="6" topLeftCell="Q30" activePane="bottomRight" state="frozen"/>
      <selection pane="bottomRight" activeCell="Q31" sqref="Q31"/>
      <selection pane="bottomLeft" activeCell="A11" sqref="A11"/>
      <selection pane="topRight" activeCell="B1" sqref="B1"/>
    </sheetView>
  </sheetViews>
  <sheetFormatPr defaultRowHeight="12.75"/>
  <cols>
    <col min="1" max="1" width="14.7109375" customWidth="1"/>
    <col min="2" max="30" width="8.28515625" customWidth="1"/>
    <col min="31" max="32" width="9.28515625" bestFit="1" customWidth="1"/>
    <col min="33" max="33" width="13.42578125" bestFit="1" customWidth="1"/>
    <col min="34" max="35" width="9.28515625" bestFit="1" customWidth="1"/>
  </cols>
  <sheetData>
    <row r="1" spans="1:36">
      <c r="A1" s="24" t="s">
        <v>0</v>
      </c>
      <c r="B1" s="24"/>
      <c r="C1" s="24"/>
      <c r="D1" s="24"/>
      <c r="E1" s="24"/>
      <c r="F1" s="24"/>
      <c r="G1" s="24"/>
      <c r="H1" s="24"/>
      <c r="L1" s="21"/>
      <c r="M1" s="21"/>
      <c r="N1" s="21"/>
      <c r="O1" s="21"/>
      <c r="P1" s="21"/>
      <c r="Q1" s="21"/>
      <c r="R1" s="21"/>
      <c r="S1" s="21"/>
      <c r="U1" s="24" t="s">
        <v>1</v>
      </c>
      <c r="V1" s="24"/>
      <c r="W1" s="24" t="s">
        <v>2</v>
      </c>
      <c r="X1" s="24"/>
    </row>
    <row r="2" spans="1:36">
      <c r="A2" s="6"/>
      <c r="B2" s="24" t="s">
        <v>3</v>
      </c>
      <c r="C2" s="24"/>
      <c r="D2" s="24"/>
      <c r="E2" s="24"/>
      <c r="I2" s="23"/>
      <c r="J2" s="23"/>
      <c r="K2" s="23"/>
      <c r="L2" s="23"/>
      <c r="M2" s="23"/>
      <c r="N2" s="23"/>
      <c r="O2" s="23"/>
      <c r="P2" s="21"/>
      <c r="Q2" s="21"/>
      <c r="R2" s="21"/>
      <c r="S2" s="21"/>
      <c r="U2" s="24" t="s">
        <v>4</v>
      </c>
      <c r="V2" s="24"/>
      <c r="W2" s="24" t="s">
        <v>4</v>
      </c>
      <c r="X2" s="24"/>
    </row>
    <row r="3" spans="1:36">
      <c r="A3" s="21" t="s">
        <v>5</v>
      </c>
      <c r="I3" s="6" t="s">
        <v>6</v>
      </c>
      <c r="J3" s="25" t="s">
        <v>7</v>
      </c>
      <c r="K3" s="25"/>
      <c r="L3" s="25"/>
      <c r="M3" s="22"/>
      <c r="N3" s="22"/>
      <c r="W3" s="21"/>
    </row>
    <row r="4" spans="1:36">
      <c r="A4" s="6"/>
      <c r="N4" s="21" t="s">
        <v>8</v>
      </c>
      <c r="O4" s="21" t="s">
        <v>9</v>
      </c>
      <c r="P4" s="21" t="s">
        <v>9</v>
      </c>
      <c r="Q4" s="21" t="s">
        <v>9</v>
      </c>
      <c r="R4" s="21" t="s">
        <v>10</v>
      </c>
      <c r="S4" s="7" t="s">
        <v>9</v>
      </c>
      <c r="T4" s="21" t="s">
        <v>11</v>
      </c>
      <c r="U4" s="24" t="s">
        <v>12</v>
      </c>
      <c r="V4" s="24"/>
      <c r="W4" s="24" t="s">
        <v>12</v>
      </c>
      <c r="X4" s="24"/>
      <c r="Y4" s="7"/>
      <c r="Z4" s="7"/>
      <c r="AA4" s="10" t="s">
        <v>13</v>
      </c>
      <c r="AC4" t="s">
        <v>14</v>
      </c>
      <c r="AD4" t="s">
        <v>15</v>
      </c>
      <c r="AE4" t="s">
        <v>16</v>
      </c>
      <c r="AF4" t="s">
        <v>17</v>
      </c>
      <c r="AJ4" s="8" t="s">
        <v>18</v>
      </c>
    </row>
    <row r="5" spans="1:36" s="1" customFormat="1">
      <c r="A5" s="9" t="s">
        <v>19</v>
      </c>
      <c r="B5" s="21" t="s">
        <v>20</v>
      </c>
      <c r="C5" s="21" t="s">
        <v>21</v>
      </c>
      <c r="D5" s="21" t="s">
        <v>22</v>
      </c>
      <c r="E5" s="21" t="s">
        <v>23</v>
      </c>
      <c r="F5" s="21" t="s">
        <v>24</v>
      </c>
      <c r="G5" s="21" t="s">
        <v>25</v>
      </c>
      <c r="H5" s="21" t="s">
        <v>26</v>
      </c>
      <c r="I5" s="21" t="s">
        <v>27</v>
      </c>
      <c r="J5" s="21" t="s">
        <v>28</v>
      </c>
      <c r="K5" s="21" t="s">
        <v>29</v>
      </c>
      <c r="L5" s="21" t="s">
        <v>30</v>
      </c>
      <c r="M5" s="21" t="s">
        <v>31</v>
      </c>
      <c r="N5" s="21" t="s">
        <v>32</v>
      </c>
      <c r="O5" s="21" t="s">
        <v>33</v>
      </c>
      <c r="P5" s="10" t="s">
        <v>34</v>
      </c>
      <c r="Q5" s="21" t="s">
        <v>35</v>
      </c>
      <c r="R5" s="21" t="s">
        <v>36</v>
      </c>
      <c r="S5" s="21" t="s">
        <v>36</v>
      </c>
      <c r="T5" s="21" t="s">
        <v>36</v>
      </c>
      <c r="U5" s="21" t="s">
        <v>37</v>
      </c>
      <c r="V5" s="7" t="s">
        <v>9</v>
      </c>
      <c r="W5" s="21" t="s">
        <v>36</v>
      </c>
      <c r="X5" s="7" t="s">
        <v>9</v>
      </c>
      <c r="Y5" s="21" t="s">
        <v>38</v>
      </c>
      <c r="Z5" s="21" t="s">
        <v>39</v>
      </c>
      <c r="AA5" s="7" t="s">
        <v>40</v>
      </c>
      <c r="AB5" s="21"/>
      <c r="AC5" s="21" t="s">
        <v>41</v>
      </c>
      <c r="AD5" s="21" t="s">
        <v>42</v>
      </c>
      <c r="AE5" s="21" t="s">
        <v>43</v>
      </c>
      <c r="AF5" s="21" t="s">
        <v>44</v>
      </c>
      <c r="AG5" s="21" t="s">
        <v>45</v>
      </c>
      <c r="AH5" s="21" t="s">
        <v>46</v>
      </c>
      <c r="AI5" s="21" t="s">
        <v>47</v>
      </c>
      <c r="AJ5" s="21" t="s">
        <v>48</v>
      </c>
    </row>
    <row r="6" spans="1:36" s="1" customFormat="1">
      <c r="A6" s="9"/>
      <c r="B6" s="21" t="s">
        <v>49</v>
      </c>
      <c r="C6" s="21" t="s">
        <v>49</v>
      </c>
      <c r="D6" s="21" t="s">
        <v>49</v>
      </c>
      <c r="E6" s="21" t="s">
        <v>50</v>
      </c>
      <c r="F6" s="21" t="s">
        <v>51</v>
      </c>
      <c r="G6" s="21" t="s">
        <v>50</v>
      </c>
      <c r="H6" s="21" t="s">
        <v>50</v>
      </c>
      <c r="I6" s="21" t="s">
        <v>51</v>
      </c>
      <c r="J6" s="21" t="s">
        <v>49</v>
      </c>
      <c r="K6" s="21"/>
      <c r="L6" s="21" t="s">
        <v>52</v>
      </c>
      <c r="M6" s="21"/>
      <c r="N6" s="21" t="s">
        <v>53</v>
      </c>
      <c r="O6" s="21" t="s">
        <v>54</v>
      </c>
      <c r="P6" s="21" t="s">
        <v>49</v>
      </c>
      <c r="Q6" s="21" t="s">
        <v>55</v>
      </c>
      <c r="R6" s="21" t="s">
        <v>54</v>
      </c>
      <c r="S6" s="21" t="s">
        <v>56</v>
      </c>
      <c r="T6" s="21" t="s">
        <v>54</v>
      </c>
      <c r="U6" s="21" t="s">
        <v>54</v>
      </c>
      <c r="V6" s="21" t="s">
        <v>57</v>
      </c>
      <c r="W6" s="21" t="s">
        <v>54</v>
      </c>
      <c r="X6" s="21" t="s">
        <v>58</v>
      </c>
      <c r="Y6" s="21" t="s">
        <v>49</v>
      </c>
      <c r="Z6" s="21" t="s">
        <v>49</v>
      </c>
      <c r="AA6" s="21" t="s">
        <v>59</v>
      </c>
      <c r="AB6" s="21"/>
      <c r="AC6" s="21" t="s">
        <v>49</v>
      </c>
      <c r="AD6" s="21" t="s">
        <v>49</v>
      </c>
      <c r="AE6" s="21" t="s">
        <v>60</v>
      </c>
      <c r="AF6" s="21" t="s">
        <v>60</v>
      </c>
      <c r="AG6" s="21" t="s">
        <v>61</v>
      </c>
      <c r="AH6" s="21" t="s">
        <v>54</v>
      </c>
      <c r="AI6" s="21"/>
      <c r="AJ6" s="21"/>
    </row>
    <row r="7" spans="1:36">
      <c r="A7" s="21" t="s">
        <v>62</v>
      </c>
      <c r="B7" s="21">
        <v>2006</v>
      </c>
      <c r="C7" t="s">
        <v>63</v>
      </c>
      <c r="D7" t="s">
        <v>64</v>
      </c>
      <c r="G7" s="23" t="s">
        <v>65</v>
      </c>
      <c r="H7" s="23" t="s">
        <v>66</v>
      </c>
      <c r="I7" s="2"/>
      <c r="K7" s="2"/>
      <c r="L7" s="3"/>
      <c r="M7" s="3"/>
      <c r="N7" s="3"/>
      <c r="Q7" s="4"/>
      <c r="R7" s="5"/>
      <c r="S7" s="4"/>
      <c r="T7" s="5"/>
      <c r="U7" s="5"/>
      <c r="V7" s="5"/>
      <c r="W7" s="5"/>
      <c r="X7" s="4"/>
    </row>
    <row r="8" spans="1:36">
      <c r="A8" s="23" t="s">
        <v>67</v>
      </c>
      <c r="B8" s="2">
        <v>150.19999999999999</v>
      </c>
      <c r="C8">
        <v>150.19999999999999</v>
      </c>
      <c r="D8">
        <v>2.91</v>
      </c>
      <c r="E8">
        <v>319.3</v>
      </c>
      <c r="F8">
        <v>200</v>
      </c>
      <c r="G8">
        <v>94.1</v>
      </c>
      <c r="H8">
        <v>68.5</v>
      </c>
      <c r="I8" s="2">
        <f t="shared" ref="I8:I33" si="0">22*((H8+8)/10)^0.3</f>
        <v>40.506163499641971</v>
      </c>
      <c r="J8">
        <v>1110</v>
      </c>
      <c r="K8" s="2">
        <f t="shared" ref="K8:K33" si="1">J8/B8</f>
        <v>7.390146471371505</v>
      </c>
      <c r="L8" s="3">
        <f t="shared" ref="L8:L33" si="2">SQRT(R8/AH8)</f>
        <v>0.3410282576984463</v>
      </c>
      <c r="M8" s="2">
        <f>C8/D8</f>
        <v>51.615120274914084</v>
      </c>
      <c r="N8" s="4">
        <f>M8/(52*SQRT(235/E8))</f>
        <v>1.1570153698543293</v>
      </c>
      <c r="O8">
        <v>2352</v>
      </c>
      <c r="Q8" s="4">
        <f t="shared" ref="Q8:Q33" si="3">Y8*O8/1000</f>
        <v>2.5872000000000002</v>
      </c>
      <c r="R8" s="5">
        <f t="shared" ref="R8:R33" si="4">(E8*AF8+H8*AE8)/1000</f>
        <v>1975.3482044799994</v>
      </c>
      <c r="S8" s="4">
        <f t="shared" ref="S8:S33" si="5">O8/R8</f>
        <v>1.1906761525212475</v>
      </c>
      <c r="T8" s="5">
        <f t="shared" ref="T8:T33" si="6">AJ8*R8</f>
        <v>1911.5562488461301</v>
      </c>
      <c r="U8">
        <v>1998</v>
      </c>
      <c r="V8" s="4">
        <f>O8/U8</f>
        <v>1.1771771771771771</v>
      </c>
      <c r="W8" s="5">
        <v>1871</v>
      </c>
      <c r="X8" s="4">
        <f t="shared" ref="X8:X33" si="7">O8/W8</f>
        <v>1.2570817744521645</v>
      </c>
      <c r="Y8">
        <v>1.1000000000000001</v>
      </c>
      <c r="AA8" s="4">
        <f>E8*AF8/(1000*R8)</f>
        <v>0.27712869651966315</v>
      </c>
      <c r="AC8">
        <f t="shared" ref="AC8:AC33" si="8">B8-2*D8</f>
        <v>144.38</v>
      </c>
      <c r="AD8">
        <f t="shared" ref="AD8:AD33" si="9">C8-2*D8</f>
        <v>144.38</v>
      </c>
      <c r="AE8">
        <f t="shared" ref="AE8:AE33" si="10">AC8*AD8</f>
        <v>20845.5844</v>
      </c>
      <c r="AF8">
        <f t="shared" ref="AF8:AF33" si="11">B8*C8-AE8</f>
        <v>1714.4555999999975</v>
      </c>
      <c r="AG8">
        <f t="shared" ref="AG8:AG33" si="12">((C8*B8^3-AD8*AC8^3)*F8+(AD8*AC8^3)*I8*0.6)/12</f>
        <v>2120357748.6076705</v>
      </c>
      <c r="AH8">
        <f t="shared" ref="AH8:AH33" si="13">(PI()^2*AG8)/(J8*J8)</f>
        <v>16984.897465743194</v>
      </c>
      <c r="AI8">
        <f t="shared" ref="AI8:AI33" si="14">0.5*(1+0.21*(L8-0.2)+L8*L8)</f>
        <v>0.57295810333275576</v>
      </c>
      <c r="AJ8">
        <f t="shared" ref="AJ8:AJ33" si="15">IF((1/(AI8+SQRT(AI8*AI8-L8*L8)))&gt;1,1,1/(AI8+SQRT(AI8*AI8-L8*L8)))</f>
        <v>0.96770596926192964</v>
      </c>
    </row>
    <row r="9" spans="1:36">
      <c r="A9" s="23" t="s">
        <v>68</v>
      </c>
      <c r="B9" s="2">
        <v>149.5</v>
      </c>
      <c r="C9">
        <v>149.5</v>
      </c>
      <c r="D9">
        <v>2.89</v>
      </c>
      <c r="E9">
        <v>319.3</v>
      </c>
      <c r="F9">
        <v>200</v>
      </c>
      <c r="G9">
        <v>94.1</v>
      </c>
      <c r="H9">
        <v>68.5</v>
      </c>
      <c r="I9" s="2">
        <f t="shared" si="0"/>
        <v>40.506163499641971</v>
      </c>
      <c r="J9">
        <v>2200</v>
      </c>
      <c r="K9" s="2">
        <f t="shared" si="1"/>
        <v>14.715719063545151</v>
      </c>
      <c r="L9" s="3">
        <f t="shared" si="2"/>
        <v>0.67928099931572417</v>
      </c>
      <c r="M9" s="2">
        <f t="shared" ref="M9:M54" si="16">C9/D9</f>
        <v>51.730103806228371</v>
      </c>
      <c r="N9" s="4">
        <f t="shared" ref="N9:N54" si="17">M9/(52*SQRT(235/E9))</f>
        <v>1.1595928648267748</v>
      </c>
      <c r="O9">
        <v>2077</v>
      </c>
      <c r="Q9" s="4">
        <f t="shared" si="3"/>
        <v>7.2694999999999999</v>
      </c>
      <c r="R9" s="5">
        <f t="shared" si="4"/>
        <v>1956.0508742800002</v>
      </c>
      <c r="S9" s="4">
        <f t="shared" si="5"/>
        <v>1.0618333231054227</v>
      </c>
      <c r="T9" s="5">
        <f t="shared" si="6"/>
        <v>1676.8327783786303</v>
      </c>
      <c r="U9">
        <v>1641</v>
      </c>
      <c r="V9" s="4">
        <f t="shared" ref="V9:V33" si="18">O9/U9</f>
        <v>1.2656916514320535</v>
      </c>
      <c r="W9" s="5">
        <v>1557</v>
      </c>
      <c r="X9" s="4">
        <f t="shared" si="7"/>
        <v>1.333975594091201</v>
      </c>
      <c r="Y9">
        <v>3.5</v>
      </c>
      <c r="AA9" s="4">
        <f t="shared" ref="AA9:AA54" si="19">E9*AF9/(1000*R9)</f>
        <v>0.27665606809904297</v>
      </c>
      <c r="AC9">
        <f t="shared" si="8"/>
        <v>143.72</v>
      </c>
      <c r="AD9">
        <f t="shared" si="9"/>
        <v>143.72</v>
      </c>
      <c r="AE9">
        <f t="shared" si="10"/>
        <v>20655.438399999999</v>
      </c>
      <c r="AF9">
        <f t="shared" si="11"/>
        <v>1694.8116000000009</v>
      </c>
      <c r="AG9">
        <f t="shared" si="12"/>
        <v>2078867590.791563</v>
      </c>
      <c r="AH9">
        <f t="shared" si="13"/>
        <v>4239.1737031732318</v>
      </c>
      <c r="AI9">
        <f t="shared" si="14"/>
        <v>0.78103584294383543</v>
      </c>
      <c r="AJ9">
        <f t="shared" si="15"/>
        <v>0.85725417494361089</v>
      </c>
    </row>
    <row r="10" spans="1:36">
      <c r="A10" s="23" t="s">
        <v>69</v>
      </c>
      <c r="B10" s="2">
        <v>148.6</v>
      </c>
      <c r="C10">
        <v>148.6</v>
      </c>
      <c r="D10">
        <v>2.93</v>
      </c>
      <c r="E10">
        <v>319.3</v>
      </c>
      <c r="F10">
        <v>200</v>
      </c>
      <c r="G10">
        <v>94.1</v>
      </c>
      <c r="H10">
        <v>68.5</v>
      </c>
      <c r="I10" s="2">
        <f t="shared" si="0"/>
        <v>40.506163499641971</v>
      </c>
      <c r="J10">
        <v>3101</v>
      </c>
      <c r="K10" s="2">
        <f t="shared" si="1"/>
        <v>20.868102288021536</v>
      </c>
      <c r="L10" s="3">
        <f t="shared" si="2"/>
        <v>0.96070067397888215</v>
      </c>
      <c r="M10" s="2">
        <f t="shared" si="16"/>
        <v>50.716723549488052</v>
      </c>
      <c r="N10" s="4">
        <f t="shared" si="17"/>
        <v>1.1368767202879171</v>
      </c>
      <c r="O10">
        <v>1558</v>
      </c>
      <c r="Q10" s="4">
        <f t="shared" si="3"/>
        <v>3.895</v>
      </c>
      <c r="R10" s="5">
        <f t="shared" si="4"/>
        <v>1940.7931619200012</v>
      </c>
      <c r="S10" s="4">
        <f t="shared" si="5"/>
        <v>0.80276457613787711</v>
      </c>
      <c r="T10" s="5">
        <f t="shared" si="6"/>
        <v>1344.8189315336185</v>
      </c>
      <c r="U10">
        <v>1263</v>
      </c>
      <c r="V10" s="4">
        <f t="shared" si="18"/>
        <v>1.2335708630245448</v>
      </c>
      <c r="W10" s="5">
        <v>1250</v>
      </c>
      <c r="X10" s="4">
        <f t="shared" si="7"/>
        <v>1.2464</v>
      </c>
      <c r="Y10">
        <v>2.5</v>
      </c>
      <c r="AA10" s="4">
        <f t="shared" si="19"/>
        <v>0.28087778853297068</v>
      </c>
      <c r="AC10">
        <f t="shared" si="8"/>
        <v>142.73999999999998</v>
      </c>
      <c r="AD10">
        <f t="shared" si="9"/>
        <v>142.73999999999998</v>
      </c>
      <c r="AE10">
        <f t="shared" si="10"/>
        <v>20374.707599999994</v>
      </c>
      <c r="AF10">
        <f t="shared" si="11"/>
        <v>1707.2524000000049</v>
      </c>
      <c r="AG10">
        <f t="shared" si="12"/>
        <v>2048834363.8667119</v>
      </c>
      <c r="AH10">
        <f t="shared" si="13"/>
        <v>2102.824665865659</v>
      </c>
      <c r="AI10">
        <f t="shared" si="14"/>
        <v>1.041346463259522</v>
      </c>
      <c r="AJ10">
        <f t="shared" si="15"/>
        <v>0.69292233604286135</v>
      </c>
    </row>
    <row r="11" spans="1:36">
      <c r="A11" s="23" t="s">
        <v>70</v>
      </c>
      <c r="B11" s="2">
        <v>151.4</v>
      </c>
      <c r="C11">
        <v>151.4</v>
      </c>
      <c r="D11">
        <v>4.7699999999999996</v>
      </c>
      <c r="E11">
        <v>316.60000000000002</v>
      </c>
      <c r="F11">
        <v>200</v>
      </c>
      <c r="G11">
        <v>94.1</v>
      </c>
      <c r="H11">
        <v>68.5</v>
      </c>
      <c r="I11" s="2">
        <f t="shared" si="0"/>
        <v>40.506163499641971</v>
      </c>
      <c r="J11">
        <v>1085</v>
      </c>
      <c r="K11" s="2">
        <f t="shared" si="1"/>
        <v>7.1664464993394974</v>
      </c>
      <c r="L11" s="3">
        <f t="shared" si="2"/>
        <v>0.30906522182226848</v>
      </c>
      <c r="M11" s="2">
        <f t="shared" si="16"/>
        <v>31.74004192872118</v>
      </c>
      <c r="N11" s="4">
        <f t="shared" si="17"/>
        <v>0.70847687070386389</v>
      </c>
      <c r="O11">
        <v>2597</v>
      </c>
      <c r="Q11" s="4">
        <f t="shared" si="3"/>
        <v>2.8567000000000005</v>
      </c>
      <c r="R11" s="5">
        <f t="shared" si="4"/>
        <v>2264.26372924</v>
      </c>
      <c r="S11" s="4">
        <f t="shared" si="5"/>
        <v>1.1469511993957007</v>
      </c>
      <c r="T11" s="5">
        <f t="shared" si="6"/>
        <v>2208.4844151964812</v>
      </c>
      <c r="U11">
        <v>2303</v>
      </c>
      <c r="V11" s="4">
        <f t="shared" si="18"/>
        <v>1.1276595744680851</v>
      </c>
      <c r="W11" s="5">
        <v>2166</v>
      </c>
      <c r="X11" s="4">
        <f t="shared" si="7"/>
        <v>1.1989843028624192</v>
      </c>
      <c r="Y11">
        <v>1.1000000000000001</v>
      </c>
      <c r="AA11" s="4">
        <f t="shared" si="19"/>
        <v>0.39118762324444517</v>
      </c>
      <c r="AC11">
        <f t="shared" si="8"/>
        <v>141.86000000000001</v>
      </c>
      <c r="AD11">
        <f t="shared" si="9"/>
        <v>141.86000000000001</v>
      </c>
      <c r="AE11">
        <f t="shared" si="10"/>
        <v>20124.259600000005</v>
      </c>
      <c r="AF11">
        <f t="shared" si="11"/>
        <v>2797.7003999999979</v>
      </c>
      <c r="AG11">
        <f t="shared" si="12"/>
        <v>2827394864.2302513</v>
      </c>
      <c r="AH11">
        <f t="shared" si="13"/>
        <v>23704.278107943966</v>
      </c>
      <c r="AI11">
        <f t="shared" si="14"/>
        <v>0.55921250396136213</v>
      </c>
      <c r="AJ11">
        <f t="shared" si="15"/>
        <v>0.97536536344101532</v>
      </c>
    </row>
    <row r="12" spans="1:36">
      <c r="A12" s="23" t="s">
        <v>71</v>
      </c>
      <c r="B12" s="2">
        <v>150</v>
      </c>
      <c r="C12">
        <v>150</v>
      </c>
      <c r="D12">
        <v>4.9000000000000004</v>
      </c>
      <c r="E12">
        <v>316.60000000000002</v>
      </c>
      <c r="F12">
        <v>200</v>
      </c>
      <c r="G12">
        <v>94.1</v>
      </c>
      <c r="H12">
        <v>68.5</v>
      </c>
      <c r="I12" s="2">
        <f t="shared" si="0"/>
        <v>40.506163499641971</v>
      </c>
      <c r="J12">
        <v>2201</v>
      </c>
      <c r="K12" s="2">
        <f t="shared" si="1"/>
        <v>14.673333333333334</v>
      </c>
      <c r="L12" s="3">
        <f t="shared" si="2"/>
        <v>0.62976929691595773</v>
      </c>
      <c r="M12" s="2">
        <f t="shared" si="16"/>
        <v>30.612244897959183</v>
      </c>
      <c r="N12" s="4">
        <f t="shared" si="17"/>
        <v>0.68330305042543682</v>
      </c>
      <c r="O12">
        <v>2381</v>
      </c>
      <c r="Q12" s="4">
        <f t="shared" si="3"/>
        <v>4.7619999999999996</v>
      </c>
      <c r="R12" s="5">
        <f t="shared" si="4"/>
        <v>2246.8364760000009</v>
      </c>
      <c r="S12" s="4">
        <f t="shared" si="5"/>
        <v>1.0597121888633605</v>
      </c>
      <c r="T12" s="5">
        <f t="shared" si="6"/>
        <v>1973.5069175273516</v>
      </c>
      <c r="U12">
        <v>1989</v>
      </c>
      <c r="V12" s="4">
        <f t="shared" si="18"/>
        <v>1.1970839617898441</v>
      </c>
      <c r="W12" s="5">
        <v>1896</v>
      </c>
      <c r="X12" s="4">
        <f t="shared" si="7"/>
        <v>1.255801687763713</v>
      </c>
      <c r="Y12">
        <v>2</v>
      </c>
      <c r="AA12" s="4">
        <f t="shared" si="19"/>
        <v>0.40074021657462211</v>
      </c>
      <c r="AC12">
        <f t="shared" si="8"/>
        <v>140.19999999999999</v>
      </c>
      <c r="AD12">
        <f t="shared" si="9"/>
        <v>140.19999999999999</v>
      </c>
      <c r="AE12">
        <f t="shared" si="10"/>
        <v>19656.039999999997</v>
      </c>
      <c r="AF12">
        <f t="shared" si="11"/>
        <v>2843.9600000000028</v>
      </c>
      <c r="AG12">
        <f t="shared" si="12"/>
        <v>2780666073.1064553</v>
      </c>
      <c r="AH12">
        <f t="shared" si="13"/>
        <v>5665.1119742340352</v>
      </c>
      <c r="AI12">
        <f t="shared" si="14"/>
        <v>0.74343045984518541</v>
      </c>
      <c r="AJ12">
        <f t="shared" si="15"/>
        <v>0.87834915384707812</v>
      </c>
    </row>
    <row r="13" spans="1:36">
      <c r="A13" s="23" t="s">
        <v>72</v>
      </c>
      <c r="B13" s="2">
        <v>150.69999999999999</v>
      </c>
      <c r="C13">
        <v>150.69999999999999</v>
      </c>
      <c r="D13">
        <v>4.8899999999999997</v>
      </c>
      <c r="E13">
        <v>316.60000000000002</v>
      </c>
      <c r="F13">
        <v>200</v>
      </c>
      <c r="G13">
        <v>94.1</v>
      </c>
      <c r="H13">
        <v>68.5</v>
      </c>
      <c r="I13" s="2">
        <f t="shared" si="0"/>
        <v>40.506163499641971</v>
      </c>
      <c r="J13">
        <v>3100</v>
      </c>
      <c r="K13" s="2">
        <f t="shared" si="1"/>
        <v>20.570670205706705</v>
      </c>
      <c r="L13" s="3">
        <f t="shared" si="2"/>
        <v>0.88366461780553074</v>
      </c>
      <c r="M13" s="2">
        <f t="shared" si="16"/>
        <v>30.81799591002045</v>
      </c>
      <c r="N13" s="4">
        <f t="shared" si="17"/>
        <v>0.68789566670164326</v>
      </c>
      <c r="O13">
        <v>1627</v>
      </c>
      <c r="Q13" s="4">
        <f t="shared" si="3"/>
        <v>5.6944999999999997</v>
      </c>
      <c r="R13" s="5">
        <f t="shared" si="4"/>
        <v>2263.26058216</v>
      </c>
      <c r="S13" s="4">
        <f t="shared" si="5"/>
        <v>0.71887435888943529</v>
      </c>
      <c r="T13" s="5">
        <f t="shared" si="6"/>
        <v>1685.2258976517021</v>
      </c>
      <c r="U13">
        <v>1575</v>
      </c>
      <c r="V13" s="4">
        <f t="shared" si="18"/>
        <v>1.0330158730158729</v>
      </c>
      <c r="W13" s="5">
        <v>1566</v>
      </c>
      <c r="X13" s="4">
        <f t="shared" si="7"/>
        <v>1.0389527458492975</v>
      </c>
      <c r="Y13">
        <v>3.5</v>
      </c>
      <c r="AA13" s="4">
        <f t="shared" si="19"/>
        <v>0.39896289931327322</v>
      </c>
      <c r="AC13">
        <f t="shared" si="8"/>
        <v>140.91999999999999</v>
      </c>
      <c r="AD13">
        <f t="shared" si="9"/>
        <v>140.91999999999999</v>
      </c>
      <c r="AE13">
        <f t="shared" si="10"/>
        <v>19858.446399999997</v>
      </c>
      <c r="AF13">
        <f t="shared" si="11"/>
        <v>2852.0436000000009</v>
      </c>
      <c r="AG13">
        <f t="shared" si="12"/>
        <v>2822170642.3894162</v>
      </c>
      <c r="AH13">
        <f t="shared" si="13"/>
        <v>2898.4087193290075</v>
      </c>
      <c r="AI13">
        <f t="shared" si="14"/>
        <v>0.96221636325027804</v>
      </c>
      <c r="AJ13">
        <f t="shared" si="15"/>
        <v>0.74460091380346671</v>
      </c>
    </row>
    <row r="14" spans="1:36">
      <c r="A14" s="23" t="s">
        <v>73</v>
      </c>
      <c r="B14" s="2">
        <v>134.9</v>
      </c>
      <c r="C14">
        <v>175.7</v>
      </c>
      <c r="D14">
        <v>2.91</v>
      </c>
      <c r="E14">
        <v>319.3</v>
      </c>
      <c r="F14">
        <v>200</v>
      </c>
      <c r="G14">
        <v>94.1</v>
      </c>
      <c r="H14">
        <v>68.5</v>
      </c>
      <c r="I14" s="2">
        <f t="shared" si="0"/>
        <v>40.506163499641971</v>
      </c>
      <c r="J14">
        <v>993</v>
      </c>
      <c r="K14" s="2">
        <f t="shared" si="1"/>
        <v>7.361008154188287</v>
      </c>
      <c r="L14" s="3">
        <f t="shared" si="2"/>
        <v>0.33517982581343864</v>
      </c>
      <c r="M14" s="2">
        <f t="shared" si="16"/>
        <v>60.378006872852225</v>
      </c>
      <c r="N14" s="4">
        <f t="shared" si="17"/>
        <v>1.353446075122541</v>
      </c>
      <c r="O14">
        <v>2401</v>
      </c>
      <c r="Q14" s="4">
        <f t="shared" si="3"/>
        <v>2.4009999999999998</v>
      </c>
      <c r="R14" s="5">
        <f t="shared" si="4"/>
        <v>2068.4561606799998</v>
      </c>
      <c r="S14" s="4">
        <f t="shared" si="5"/>
        <v>1.1607691019231838</v>
      </c>
      <c r="T14" s="5">
        <f t="shared" si="6"/>
        <v>2004.5973638519226</v>
      </c>
      <c r="U14">
        <v>2153</v>
      </c>
      <c r="V14" s="4">
        <f t="shared" si="18"/>
        <v>1.1151881096144913</v>
      </c>
      <c r="W14" s="5">
        <v>1975</v>
      </c>
      <c r="X14" s="4">
        <f t="shared" si="7"/>
        <v>1.2156962025316456</v>
      </c>
      <c r="Y14">
        <v>1</v>
      </c>
      <c r="AA14" s="4">
        <f t="shared" si="19"/>
        <v>0.27381803349112482</v>
      </c>
      <c r="AC14">
        <f t="shared" si="8"/>
        <v>129.08000000000001</v>
      </c>
      <c r="AD14">
        <f t="shared" si="9"/>
        <v>169.88</v>
      </c>
      <c r="AE14">
        <f t="shared" si="10"/>
        <v>21928.110400000001</v>
      </c>
      <c r="AF14">
        <f t="shared" si="11"/>
        <v>1773.8195999999989</v>
      </c>
      <c r="AG14">
        <f t="shared" si="12"/>
        <v>1839455689.1832426</v>
      </c>
      <c r="AH14">
        <f t="shared" si="13"/>
        <v>18411.559634026085</v>
      </c>
      <c r="AI14">
        <f t="shared" si="14"/>
        <v>0.57036663952657451</v>
      </c>
      <c r="AJ14">
        <f t="shared" si="15"/>
        <v>0.969127314350678</v>
      </c>
    </row>
    <row r="15" spans="1:36">
      <c r="A15" s="23" t="s">
        <v>74</v>
      </c>
      <c r="B15" s="2">
        <v>136.30000000000001</v>
      </c>
      <c r="C15">
        <v>176.5</v>
      </c>
      <c r="D15">
        <v>2.91</v>
      </c>
      <c r="E15">
        <v>319.3</v>
      </c>
      <c r="F15">
        <v>200</v>
      </c>
      <c r="G15">
        <v>94.1</v>
      </c>
      <c r="H15">
        <v>68.5</v>
      </c>
      <c r="I15" s="2">
        <f t="shared" si="0"/>
        <v>40.506163499641971</v>
      </c>
      <c r="J15">
        <v>1980</v>
      </c>
      <c r="K15" s="2">
        <f t="shared" si="1"/>
        <v>14.526779163609683</v>
      </c>
      <c r="L15" s="3">
        <f t="shared" si="2"/>
        <v>0.66241583984742491</v>
      </c>
      <c r="M15" s="2">
        <f t="shared" si="16"/>
        <v>60.65292096219931</v>
      </c>
      <c r="N15" s="4">
        <f t="shared" si="17"/>
        <v>1.3596086070525242</v>
      </c>
      <c r="O15">
        <v>2283</v>
      </c>
      <c r="Q15" s="4">
        <f t="shared" si="3"/>
        <v>6.8490000000000002</v>
      </c>
      <c r="R15" s="5">
        <f t="shared" si="4"/>
        <v>2095.9862738799989</v>
      </c>
      <c r="S15" s="4">
        <f t="shared" si="5"/>
        <v>1.0892246902809193</v>
      </c>
      <c r="T15" s="5">
        <f t="shared" si="6"/>
        <v>1812.3857957073717</v>
      </c>
      <c r="U15">
        <v>1951</v>
      </c>
      <c r="V15" s="4">
        <f t="shared" si="18"/>
        <v>1.1701691440287032</v>
      </c>
      <c r="W15" s="5">
        <v>1734</v>
      </c>
      <c r="X15" s="4">
        <f t="shared" si="7"/>
        <v>1.3166089965397925</v>
      </c>
      <c r="Y15">
        <v>3</v>
      </c>
      <c r="AA15" s="4">
        <f t="shared" si="19"/>
        <v>0.27217206648208209</v>
      </c>
      <c r="AC15">
        <f t="shared" si="8"/>
        <v>130.48000000000002</v>
      </c>
      <c r="AD15">
        <f t="shared" si="9"/>
        <v>170.68</v>
      </c>
      <c r="AE15">
        <f t="shared" si="10"/>
        <v>22270.326400000005</v>
      </c>
      <c r="AF15">
        <f t="shared" si="11"/>
        <v>1786.6235999999953</v>
      </c>
      <c r="AG15">
        <f t="shared" si="12"/>
        <v>1897394562.4789658</v>
      </c>
      <c r="AH15">
        <f t="shared" si="13"/>
        <v>4776.6895532204408</v>
      </c>
      <c r="AI15">
        <f t="shared" si="14"/>
        <v>0.76795103562436418</v>
      </c>
      <c r="AJ15">
        <f t="shared" si="15"/>
        <v>0.8646935422684624</v>
      </c>
    </row>
    <row r="16" spans="1:36">
      <c r="A16" s="23" t="s">
        <v>75</v>
      </c>
      <c r="B16" s="2">
        <v>124.6</v>
      </c>
      <c r="C16">
        <v>199.3</v>
      </c>
      <c r="D16">
        <v>2.92</v>
      </c>
      <c r="E16">
        <v>319.3</v>
      </c>
      <c r="F16">
        <v>200</v>
      </c>
      <c r="G16">
        <v>94.1</v>
      </c>
      <c r="H16">
        <v>68.5</v>
      </c>
      <c r="I16" s="2">
        <f t="shared" si="0"/>
        <v>40.506163499641971</v>
      </c>
      <c r="J16">
        <v>921</v>
      </c>
      <c r="K16" s="2">
        <f t="shared" si="1"/>
        <v>7.3916532905296952</v>
      </c>
      <c r="L16" s="3">
        <f t="shared" si="2"/>
        <v>0.33283477163111186</v>
      </c>
      <c r="M16" s="2">
        <f t="shared" si="16"/>
        <v>68.253424657534254</v>
      </c>
      <c r="N16" s="4">
        <f t="shared" si="17"/>
        <v>1.5299830931972589</v>
      </c>
      <c r="O16">
        <v>2636</v>
      </c>
      <c r="Q16" s="4">
        <f t="shared" si="3"/>
        <v>2.3724000000000003</v>
      </c>
      <c r="R16" s="5">
        <f t="shared" si="4"/>
        <v>2166.8990063199999</v>
      </c>
      <c r="S16" s="4">
        <f t="shared" si="5"/>
        <v>1.2164849364514982</v>
      </c>
      <c r="T16" s="5">
        <f t="shared" si="6"/>
        <v>2101.230302981402</v>
      </c>
      <c r="U16">
        <v>2272</v>
      </c>
      <c r="V16" s="4">
        <f t="shared" si="18"/>
        <v>1.1602112676056338</v>
      </c>
      <c r="W16" s="5">
        <v>2070</v>
      </c>
      <c r="X16" s="4">
        <f t="shared" si="7"/>
        <v>1.2734299516908212</v>
      </c>
      <c r="Y16">
        <v>0.9</v>
      </c>
      <c r="AA16" s="4">
        <f t="shared" si="19"/>
        <v>0.2737046336678296</v>
      </c>
      <c r="AC16">
        <f t="shared" si="8"/>
        <v>118.75999999999999</v>
      </c>
      <c r="AD16">
        <f t="shared" si="9"/>
        <v>193.46</v>
      </c>
      <c r="AE16">
        <f t="shared" si="10"/>
        <v>22975.309600000001</v>
      </c>
      <c r="AF16">
        <f t="shared" si="11"/>
        <v>1857.4703999999983</v>
      </c>
      <c r="AG16">
        <f t="shared" si="12"/>
        <v>1681128082.7037761</v>
      </c>
      <c r="AH16">
        <f t="shared" si="13"/>
        <v>19560.560175525708</v>
      </c>
      <c r="AI16">
        <f t="shared" si="14"/>
        <v>0.56933714362463395</v>
      </c>
      <c r="AJ16">
        <f t="shared" si="15"/>
        <v>0.96969461744775931</v>
      </c>
    </row>
    <row r="17" spans="1:36">
      <c r="A17" s="23" t="s">
        <v>76</v>
      </c>
      <c r="B17" s="2">
        <v>125.9</v>
      </c>
      <c r="C17">
        <v>199.9</v>
      </c>
      <c r="D17" s="4">
        <v>2.9</v>
      </c>
      <c r="E17">
        <v>319.3</v>
      </c>
      <c r="F17">
        <v>200</v>
      </c>
      <c r="G17">
        <v>94.1</v>
      </c>
      <c r="H17">
        <v>68.5</v>
      </c>
      <c r="I17" s="2">
        <f t="shared" si="0"/>
        <v>40.506163499641971</v>
      </c>
      <c r="J17">
        <v>1829</v>
      </c>
      <c r="K17" s="2">
        <f t="shared" si="1"/>
        <v>14.527402700555996</v>
      </c>
      <c r="L17" s="3">
        <f t="shared" si="2"/>
        <v>0.65577338238488359</v>
      </c>
      <c r="M17" s="2">
        <f t="shared" si="16"/>
        <v>68.931034482758619</v>
      </c>
      <c r="N17" s="4">
        <f t="shared" si="17"/>
        <v>1.545172537266615</v>
      </c>
      <c r="O17">
        <v>2303</v>
      </c>
      <c r="Q17" s="4">
        <f t="shared" si="3"/>
        <v>3.4544999999999999</v>
      </c>
      <c r="R17" s="5">
        <f t="shared" si="4"/>
        <v>2189.452385000001</v>
      </c>
      <c r="S17" s="4">
        <f t="shared" si="5"/>
        <v>1.0518611940492137</v>
      </c>
      <c r="T17" s="5">
        <f t="shared" si="6"/>
        <v>1899.4600886167509</v>
      </c>
      <c r="U17">
        <v>2152</v>
      </c>
      <c r="V17" s="4">
        <f t="shared" si="18"/>
        <v>1.0701672862453531</v>
      </c>
      <c r="W17" s="5">
        <v>1873</v>
      </c>
      <c r="X17" s="4">
        <f t="shared" si="7"/>
        <v>1.2295782167645488</v>
      </c>
      <c r="Y17">
        <v>1.5</v>
      </c>
      <c r="AA17" s="4">
        <f t="shared" si="19"/>
        <v>0.27067078693287083</v>
      </c>
      <c r="AC17">
        <f t="shared" si="8"/>
        <v>120.10000000000001</v>
      </c>
      <c r="AD17">
        <f t="shared" si="9"/>
        <v>194.1</v>
      </c>
      <c r="AE17">
        <f t="shared" si="10"/>
        <v>23311.41</v>
      </c>
      <c r="AF17">
        <f t="shared" si="11"/>
        <v>1856.0000000000036</v>
      </c>
      <c r="AG17">
        <f t="shared" si="12"/>
        <v>1725661463.3074434</v>
      </c>
      <c r="AH17">
        <f t="shared" si="13"/>
        <v>5091.291172459456</v>
      </c>
      <c r="AI17">
        <f t="shared" si="14"/>
        <v>0.76287556967266812</v>
      </c>
      <c r="AJ17">
        <f t="shared" si="15"/>
        <v>0.86755030693063007</v>
      </c>
    </row>
    <row r="18" spans="1:36">
      <c r="A18" s="23" t="s">
        <v>77</v>
      </c>
      <c r="B18" s="2">
        <v>149.4</v>
      </c>
      <c r="C18">
        <v>149.4</v>
      </c>
      <c r="D18" s="4">
        <v>2.89</v>
      </c>
      <c r="E18">
        <v>319.3</v>
      </c>
      <c r="F18">
        <v>200</v>
      </c>
      <c r="G18">
        <v>94.1</v>
      </c>
      <c r="H18">
        <v>68.5</v>
      </c>
      <c r="I18" s="2">
        <f t="shared" si="0"/>
        <v>40.506163499641971</v>
      </c>
      <c r="J18">
        <v>1090</v>
      </c>
      <c r="K18" s="2">
        <f t="shared" si="1"/>
        <v>7.2958500669344044</v>
      </c>
      <c r="L18" s="3">
        <f t="shared" si="2"/>
        <v>0.33674766586848381</v>
      </c>
      <c r="M18" s="2">
        <f t="shared" si="16"/>
        <v>51.695501730103807</v>
      </c>
      <c r="N18" s="4">
        <f t="shared" si="17"/>
        <v>1.1588172174255529</v>
      </c>
      <c r="O18">
        <v>1147</v>
      </c>
      <c r="Q18" s="4">
        <f t="shared" si="3"/>
        <v>49.320999999999998</v>
      </c>
      <c r="R18" s="5">
        <f t="shared" si="4"/>
        <v>1953.7134844799996</v>
      </c>
      <c r="S18" s="4">
        <f t="shared" si="5"/>
        <v>0.58708710827436683</v>
      </c>
      <c r="T18" s="5">
        <f t="shared" si="6"/>
        <v>1892.6544723743355</v>
      </c>
      <c r="U18">
        <v>1082</v>
      </c>
      <c r="V18" s="4">
        <f t="shared" si="18"/>
        <v>1.0600739371534196</v>
      </c>
      <c r="W18" s="5">
        <v>962</v>
      </c>
      <c r="X18" s="4">
        <f t="shared" si="7"/>
        <v>1.1923076923076923</v>
      </c>
      <c r="Y18">
        <v>43</v>
      </c>
      <c r="AA18" s="4">
        <f t="shared" si="19"/>
        <v>0.27679812693923983</v>
      </c>
      <c r="AC18">
        <f t="shared" si="8"/>
        <v>143.62</v>
      </c>
      <c r="AD18">
        <f t="shared" si="9"/>
        <v>143.62</v>
      </c>
      <c r="AE18">
        <f t="shared" si="10"/>
        <v>20626.704400000002</v>
      </c>
      <c r="AF18">
        <f t="shared" si="11"/>
        <v>1693.6555999999982</v>
      </c>
      <c r="AG18">
        <f t="shared" si="12"/>
        <v>2073981777.3296041</v>
      </c>
      <c r="AH18">
        <f t="shared" si="13"/>
        <v>17228.667348970113</v>
      </c>
      <c r="AI18">
        <f t="shared" si="14"/>
        <v>0.57105800015012687</v>
      </c>
      <c r="AJ18">
        <f t="shared" si="15"/>
        <v>0.96874720239650924</v>
      </c>
    </row>
    <row r="19" spans="1:36">
      <c r="A19" s="23" t="s">
        <v>78</v>
      </c>
      <c r="B19" s="2">
        <v>150.4</v>
      </c>
      <c r="C19">
        <v>150.4</v>
      </c>
      <c r="D19" s="4">
        <v>2.91</v>
      </c>
      <c r="E19">
        <v>319.3</v>
      </c>
      <c r="F19">
        <v>200</v>
      </c>
      <c r="G19">
        <v>94.1</v>
      </c>
      <c r="H19">
        <v>68.5</v>
      </c>
      <c r="I19" s="2">
        <f t="shared" si="0"/>
        <v>40.506163499641971</v>
      </c>
      <c r="J19">
        <v>1115</v>
      </c>
      <c r="K19" s="2">
        <f t="shared" si="1"/>
        <v>7.4135638297872335</v>
      </c>
      <c r="L19" s="3">
        <f t="shared" si="2"/>
        <v>0.34217043995473634</v>
      </c>
      <c r="M19" s="2">
        <f t="shared" si="16"/>
        <v>51.68384879725086</v>
      </c>
      <c r="N19" s="4">
        <f t="shared" si="17"/>
        <v>1.1585560028368254</v>
      </c>
      <c r="O19">
        <v>1597</v>
      </c>
      <c r="Q19" s="4">
        <f t="shared" si="3"/>
        <v>35.134</v>
      </c>
      <c r="R19" s="5">
        <f t="shared" si="4"/>
        <v>1980.0502868799999</v>
      </c>
      <c r="S19" s="4">
        <f t="shared" si="5"/>
        <v>0.80654517240388934</v>
      </c>
      <c r="T19" s="5">
        <f t="shared" si="6"/>
        <v>1915.5546600278878</v>
      </c>
      <c r="U19">
        <v>1505</v>
      </c>
      <c r="V19" s="4">
        <f t="shared" si="18"/>
        <v>1.0611295681063122</v>
      </c>
      <c r="W19" s="5">
        <v>1357</v>
      </c>
      <c r="X19" s="4">
        <f t="shared" si="7"/>
        <v>1.1768607221812823</v>
      </c>
      <c r="Y19">
        <v>22</v>
      </c>
      <c r="AA19" s="4">
        <f t="shared" si="19"/>
        <v>0.27684600088806793</v>
      </c>
      <c r="AC19">
        <f t="shared" si="8"/>
        <v>144.58000000000001</v>
      </c>
      <c r="AD19">
        <f t="shared" si="9"/>
        <v>144.58000000000001</v>
      </c>
      <c r="AE19">
        <f t="shared" si="10"/>
        <v>20903.376400000005</v>
      </c>
      <c r="AF19">
        <f t="shared" si="11"/>
        <v>1716.7835999999988</v>
      </c>
      <c r="AG19">
        <f t="shared" si="12"/>
        <v>2130302284.2998028</v>
      </c>
      <c r="AH19">
        <f t="shared" si="13"/>
        <v>16911.854894147116</v>
      </c>
      <c r="AI19">
        <f t="shared" si="14"/>
        <v>0.57346820118465613</v>
      </c>
      <c r="AJ19">
        <f t="shared" si="15"/>
        <v>0.96742727834769338</v>
      </c>
    </row>
    <row r="20" spans="1:36">
      <c r="A20" s="23" t="s">
        <v>79</v>
      </c>
      <c r="B20" s="2">
        <v>149.80000000000001</v>
      </c>
      <c r="C20">
        <v>149.80000000000001</v>
      </c>
      <c r="D20" s="4">
        <v>2.92</v>
      </c>
      <c r="E20">
        <v>319.3</v>
      </c>
      <c r="F20">
        <v>200</v>
      </c>
      <c r="G20">
        <v>94.1</v>
      </c>
      <c r="H20">
        <v>68.5</v>
      </c>
      <c r="I20" s="2">
        <f t="shared" si="0"/>
        <v>40.506163499641971</v>
      </c>
      <c r="J20">
        <v>2203</v>
      </c>
      <c r="K20" s="2">
        <f t="shared" si="1"/>
        <v>14.706275033377835</v>
      </c>
      <c r="L20" s="3">
        <f t="shared" si="2"/>
        <v>0.67808138274989027</v>
      </c>
      <c r="M20" s="2">
        <f t="shared" si="16"/>
        <v>51.301369863013704</v>
      </c>
      <c r="N20" s="4">
        <f t="shared" si="17"/>
        <v>1.1499822747664294</v>
      </c>
      <c r="O20">
        <v>1274</v>
      </c>
      <c r="Q20" s="4">
        <f t="shared" si="3"/>
        <v>29.939</v>
      </c>
      <c r="R20" s="5">
        <f t="shared" si="4"/>
        <v>1967.4047867200006</v>
      </c>
      <c r="S20" s="4">
        <f t="shared" si="5"/>
        <v>0.64755357341789099</v>
      </c>
      <c r="T20" s="5">
        <f t="shared" si="6"/>
        <v>1687.6246398765193</v>
      </c>
      <c r="U20">
        <v>1139</v>
      </c>
      <c r="V20" s="4">
        <f t="shared" si="18"/>
        <v>1.1185250219490781</v>
      </c>
      <c r="W20" s="5">
        <v>1049</v>
      </c>
      <c r="X20" s="4">
        <f t="shared" si="7"/>
        <v>1.2144899904671116</v>
      </c>
      <c r="Y20">
        <v>23.5</v>
      </c>
      <c r="AA20" s="4">
        <f t="shared" si="19"/>
        <v>0.27842658552907135</v>
      </c>
      <c r="AC20">
        <f t="shared" si="8"/>
        <v>143.96</v>
      </c>
      <c r="AD20">
        <f t="shared" si="9"/>
        <v>143.96</v>
      </c>
      <c r="AE20">
        <f t="shared" si="10"/>
        <v>20724.481600000003</v>
      </c>
      <c r="AF20">
        <f t="shared" si="11"/>
        <v>1715.5584000000017</v>
      </c>
      <c r="AG20">
        <f t="shared" si="12"/>
        <v>2104065867.9281349</v>
      </c>
      <c r="AH20">
        <f t="shared" si="13"/>
        <v>4278.8797577613941</v>
      </c>
      <c r="AI20">
        <f t="shared" si="14"/>
        <v>0.78009572600474009</v>
      </c>
      <c r="AJ20">
        <f t="shared" si="15"/>
        <v>0.85779228111469497</v>
      </c>
    </row>
    <row r="21" spans="1:36">
      <c r="A21" s="23" t="s">
        <v>80</v>
      </c>
      <c r="B21" s="2">
        <v>148.30000000000001</v>
      </c>
      <c r="C21">
        <v>148.30000000000001</v>
      </c>
      <c r="D21" s="4">
        <v>2.87</v>
      </c>
      <c r="E21">
        <v>319.3</v>
      </c>
      <c r="F21">
        <v>200</v>
      </c>
      <c r="G21">
        <v>94.1</v>
      </c>
      <c r="H21">
        <v>68.5</v>
      </c>
      <c r="I21" s="2">
        <f t="shared" si="0"/>
        <v>40.506163499641971</v>
      </c>
      <c r="J21">
        <v>3101</v>
      </c>
      <c r="K21" s="2">
        <f t="shared" si="1"/>
        <v>20.910316925151719</v>
      </c>
      <c r="L21" s="3">
        <f t="shared" si="2"/>
        <v>0.96507962822823001</v>
      </c>
      <c r="M21" s="2">
        <f t="shared" si="16"/>
        <v>51.672473867595819</v>
      </c>
      <c r="N21" s="4">
        <f t="shared" si="17"/>
        <v>1.1583010200261334</v>
      </c>
      <c r="O21">
        <v>941</v>
      </c>
      <c r="Q21" s="4">
        <f t="shared" si="3"/>
        <v>24.466000000000001</v>
      </c>
      <c r="R21" s="5">
        <f t="shared" si="4"/>
        <v>1925.2326941200004</v>
      </c>
      <c r="S21" s="4">
        <f t="shared" si="5"/>
        <v>0.48877208603094041</v>
      </c>
      <c r="T21" s="5">
        <f t="shared" si="6"/>
        <v>1328.2150388437221</v>
      </c>
      <c r="U21">
        <v>708</v>
      </c>
      <c r="V21" s="4">
        <f t="shared" si="18"/>
        <v>1.3290960451977401</v>
      </c>
      <c r="W21" s="5">
        <v>695</v>
      </c>
      <c r="X21" s="4">
        <f t="shared" si="7"/>
        <v>1.353956834532374</v>
      </c>
      <c r="Y21">
        <v>26</v>
      </c>
      <c r="AA21" s="4">
        <f t="shared" si="19"/>
        <v>0.27689274867818814</v>
      </c>
      <c r="AC21">
        <f t="shared" si="8"/>
        <v>142.56</v>
      </c>
      <c r="AD21">
        <f t="shared" si="9"/>
        <v>142.56</v>
      </c>
      <c r="AE21">
        <f t="shared" si="10"/>
        <v>20323.353600000002</v>
      </c>
      <c r="AF21">
        <f t="shared" si="11"/>
        <v>1669.5364000000009</v>
      </c>
      <c r="AG21">
        <f t="shared" si="12"/>
        <v>2014005808.8589392</v>
      </c>
      <c r="AH21">
        <f t="shared" si="13"/>
        <v>2067.0783186555395</v>
      </c>
      <c r="AI21">
        <f t="shared" si="14"/>
        <v>1.0460227053745335</v>
      </c>
      <c r="AJ21">
        <f t="shared" si="15"/>
        <v>0.6898984433935309</v>
      </c>
    </row>
    <row r="22" spans="1:36">
      <c r="A22" s="23" t="s">
        <v>81</v>
      </c>
      <c r="B22" s="2">
        <v>152.1</v>
      </c>
      <c r="C22">
        <v>152.1</v>
      </c>
      <c r="D22" s="4">
        <v>4.82</v>
      </c>
      <c r="E22">
        <v>316.60000000000002</v>
      </c>
      <c r="F22">
        <v>200</v>
      </c>
      <c r="G22">
        <v>94.1</v>
      </c>
      <c r="H22">
        <v>68.5</v>
      </c>
      <c r="I22" s="2">
        <f t="shared" si="0"/>
        <v>40.506163499641971</v>
      </c>
      <c r="J22">
        <v>1105</v>
      </c>
      <c r="K22" s="2">
        <f t="shared" si="1"/>
        <v>7.2649572649572649</v>
      </c>
      <c r="L22" s="3">
        <f t="shared" si="2"/>
        <v>0.31307018776539841</v>
      </c>
      <c r="M22" s="2">
        <f t="shared" si="16"/>
        <v>31.556016597510371</v>
      </c>
      <c r="N22" s="4">
        <f t="shared" si="17"/>
        <v>0.70436919841158196</v>
      </c>
      <c r="O22">
        <v>1416</v>
      </c>
      <c r="Q22" s="4">
        <f t="shared" si="3"/>
        <v>58.764000000000003</v>
      </c>
      <c r="R22" s="5">
        <f t="shared" si="4"/>
        <v>2289.2015240400015</v>
      </c>
      <c r="S22" s="4">
        <f t="shared" si="5"/>
        <v>0.61855628922569983</v>
      </c>
      <c r="T22" s="5">
        <f t="shared" si="6"/>
        <v>2230.6427981292977</v>
      </c>
      <c r="U22">
        <v>1370</v>
      </c>
      <c r="V22" s="4">
        <f t="shared" si="18"/>
        <v>1.0335766423357664</v>
      </c>
      <c r="W22" s="5">
        <v>1247</v>
      </c>
      <c r="X22" s="4">
        <f t="shared" si="7"/>
        <v>1.1355252606255013</v>
      </c>
      <c r="Y22">
        <v>41.5</v>
      </c>
      <c r="AA22" s="4">
        <f t="shared" si="19"/>
        <v>0.39271518038020164</v>
      </c>
      <c r="AC22">
        <f t="shared" si="8"/>
        <v>142.45999999999998</v>
      </c>
      <c r="AD22">
        <f t="shared" si="9"/>
        <v>142.45999999999998</v>
      </c>
      <c r="AE22">
        <f t="shared" si="10"/>
        <v>20294.851599999995</v>
      </c>
      <c r="AF22">
        <f t="shared" si="11"/>
        <v>2839.5584000000053</v>
      </c>
      <c r="AG22">
        <f t="shared" si="12"/>
        <v>2889518035.7569089</v>
      </c>
      <c r="AH22">
        <f t="shared" si="13"/>
        <v>23356.114676385383</v>
      </c>
      <c r="AI22">
        <f t="shared" si="14"/>
        <v>0.56087884094909779</v>
      </c>
      <c r="AJ22">
        <f t="shared" si="15"/>
        <v>0.97441958460373612</v>
      </c>
    </row>
    <row r="23" spans="1:36">
      <c r="A23" s="23" t="s">
        <v>82</v>
      </c>
      <c r="B23" s="2">
        <v>150.6</v>
      </c>
      <c r="C23">
        <v>150.6</v>
      </c>
      <c r="D23" s="4">
        <v>4.88</v>
      </c>
      <c r="E23">
        <v>316.60000000000002</v>
      </c>
      <c r="F23">
        <v>200</v>
      </c>
      <c r="G23">
        <v>94.1</v>
      </c>
      <c r="H23">
        <v>68.5</v>
      </c>
      <c r="I23" s="2">
        <f t="shared" si="0"/>
        <v>40.506163499641971</v>
      </c>
      <c r="J23">
        <v>1100</v>
      </c>
      <c r="K23" s="2">
        <f t="shared" si="1"/>
        <v>7.3041168658698545</v>
      </c>
      <c r="L23" s="3">
        <f t="shared" si="2"/>
        <v>0.31382431602698724</v>
      </c>
      <c r="M23" s="2">
        <f t="shared" si="16"/>
        <v>30.860655737704917</v>
      </c>
      <c r="N23" s="4">
        <f t="shared" si="17"/>
        <v>0.68884788665429897</v>
      </c>
      <c r="O23">
        <v>1901</v>
      </c>
      <c r="Q23" s="4">
        <f t="shared" si="3"/>
        <v>40.111100000000008</v>
      </c>
      <c r="R23" s="5">
        <f t="shared" si="4"/>
        <v>2259.3137966399986</v>
      </c>
      <c r="S23" s="4">
        <f t="shared" si="5"/>
        <v>0.84140591839306478</v>
      </c>
      <c r="T23" s="5">
        <f t="shared" si="6"/>
        <v>2201.1162986385907</v>
      </c>
      <c r="U23">
        <v>1762</v>
      </c>
      <c r="V23" s="4">
        <f t="shared" si="18"/>
        <v>1.0788876276958002</v>
      </c>
      <c r="W23" s="5">
        <v>1616</v>
      </c>
      <c r="X23" s="4">
        <f t="shared" si="7"/>
        <v>1.176361386138614</v>
      </c>
      <c r="Y23">
        <v>21.1</v>
      </c>
      <c r="AA23" s="4">
        <f t="shared" si="19"/>
        <v>0.3985963633645237</v>
      </c>
      <c r="AC23">
        <f t="shared" si="8"/>
        <v>140.84</v>
      </c>
      <c r="AD23">
        <f t="shared" si="9"/>
        <v>140.84</v>
      </c>
      <c r="AE23">
        <f t="shared" si="10"/>
        <v>19835.905600000002</v>
      </c>
      <c r="AF23">
        <f t="shared" si="11"/>
        <v>2844.4543999999951</v>
      </c>
      <c r="AG23">
        <f t="shared" si="12"/>
        <v>2812477115.5095077</v>
      </c>
      <c r="AH23">
        <f t="shared" si="13"/>
        <v>22940.526047269206</v>
      </c>
      <c r="AI23">
        <f t="shared" si="14"/>
        <v>0.56119440384773689</v>
      </c>
      <c r="AJ23">
        <f t="shared" si="15"/>
        <v>0.974241073511808</v>
      </c>
    </row>
    <row r="24" spans="1:36">
      <c r="A24" s="23" t="s">
        <v>83</v>
      </c>
      <c r="B24" s="2">
        <v>150.80000000000001</v>
      </c>
      <c r="C24">
        <v>150.80000000000001</v>
      </c>
      <c r="D24" s="4">
        <v>4.8600000000000003</v>
      </c>
      <c r="E24">
        <v>316.60000000000002</v>
      </c>
      <c r="F24">
        <v>200</v>
      </c>
      <c r="G24">
        <v>94.1</v>
      </c>
      <c r="H24">
        <v>68.5</v>
      </c>
      <c r="I24" s="2">
        <f t="shared" si="0"/>
        <v>40.506163499641971</v>
      </c>
      <c r="J24">
        <v>2199</v>
      </c>
      <c r="K24" s="2">
        <f t="shared" si="1"/>
        <v>14.582228116710874</v>
      </c>
      <c r="L24" s="3">
        <f t="shared" si="2"/>
        <v>0.62698434711607742</v>
      </c>
      <c r="M24" s="2">
        <f t="shared" si="16"/>
        <v>31.02880658436214</v>
      </c>
      <c r="N24" s="4">
        <f t="shared" si="17"/>
        <v>0.69260122087841391</v>
      </c>
      <c r="O24">
        <v>1519</v>
      </c>
      <c r="Q24" s="4">
        <f t="shared" si="3"/>
        <v>31.899000000000001</v>
      </c>
      <c r="R24" s="5">
        <f t="shared" si="4"/>
        <v>2261.6118001600003</v>
      </c>
      <c r="S24" s="4">
        <f t="shared" si="5"/>
        <v>0.67164488613498419</v>
      </c>
      <c r="T24" s="5">
        <f t="shared" si="6"/>
        <v>1989.020393939765</v>
      </c>
      <c r="U24">
        <v>1414</v>
      </c>
      <c r="V24" s="4">
        <f t="shared" si="18"/>
        <v>1.0742574257425743</v>
      </c>
      <c r="W24" s="5">
        <v>1381</v>
      </c>
      <c r="X24" s="4">
        <f t="shared" si="7"/>
        <v>1.0999275887038378</v>
      </c>
      <c r="Y24">
        <v>21</v>
      </c>
      <c r="AA24" s="4">
        <f t="shared" si="19"/>
        <v>0.39715812488087243</v>
      </c>
      <c r="AC24">
        <f t="shared" si="8"/>
        <v>141.08000000000001</v>
      </c>
      <c r="AD24">
        <f t="shared" si="9"/>
        <v>141.08000000000001</v>
      </c>
      <c r="AE24">
        <f t="shared" si="10"/>
        <v>19903.566400000003</v>
      </c>
      <c r="AF24">
        <f t="shared" si="11"/>
        <v>2837.0735999999997</v>
      </c>
      <c r="AG24">
        <f t="shared" si="12"/>
        <v>2818742330.0593581</v>
      </c>
      <c r="AH24">
        <f t="shared" si="13"/>
        <v>5753.1363125888001</v>
      </c>
      <c r="AI24">
        <f t="shared" si="14"/>
        <v>0.74138804221147503</v>
      </c>
      <c r="AJ24">
        <f t="shared" si="15"/>
        <v>0.87947029361937779</v>
      </c>
    </row>
    <row r="25" spans="1:36">
      <c r="A25" s="23" t="s">
        <v>84</v>
      </c>
      <c r="B25" s="2">
        <v>150.4</v>
      </c>
      <c r="C25">
        <v>150.4</v>
      </c>
      <c r="D25" s="4">
        <v>4.8600000000000003</v>
      </c>
      <c r="E25">
        <v>316.60000000000002</v>
      </c>
      <c r="F25">
        <v>200</v>
      </c>
      <c r="G25">
        <v>94.1</v>
      </c>
      <c r="H25">
        <v>68.5</v>
      </c>
      <c r="I25" s="2">
        <f t="shared" si="0"/>
        <v>40.506163499641971</v>
      </c>
      <c r="J25">
        <v>3100</v>
      </c>
      <c r="K25" s="2">
        <f t="shared" si="1"/>
        <v>20.611702127659573</v>
      </c>
      <c r="L25" s="3">
        <f t="shared" si="2"/>
        <v>0.88591727760026107</v>
      </c>
      <c r="M25" s="2">
        <f t="shared" si="16"/>
        <v>30.946502057613166</v>
      </c>
      <c r="N25" s="4">
        <f t="shared" si="17"/>
        <v>0.690764082361495</v>
      </c>
      <c r="O25">
        <v>1103</v>
      </c>
      <c r="Q25" s="4">
        <f t="shared" si="3"/>
        <v>28.1265</v>
      </c>
      <c r="R25" s="5">
        <f t="shared" si="4"/>
        <v>2251.4296945600008</v>
      </c>
      <c r="S25" s="4">
        <f t="shared" si="5"/>
        <v>0.48991092311925838</v>
      </c>
      <c r="T25" s="5">
        <f t="shared" si="6"/>
        <v>1673.1327659446863</v>
      </c>
      <c r="U25">
        <v>994</v>
      </c>
      <c r="V25" s="4">
        <f t="shared" si="18"/>
        <v>1.1096579476861168</v>
      </c>
      <c r="W25" s="5">
        <v>1014</v>
      </c>
      <c r="X25" s="4">
        <f t="shared" si="7"/>
        <v>1.0877712031558184</v>
      </c>
      <c r="Y25">
        <v>25.5</v>
      </c>
      <c r="AA25" s="4">
        <f t="shared" si="19"/>
        <v>0.39786080032805959</v>
      </c>
      <c r="AC25">
        <f t="shared" si="8"/>
        <v>140.68</v>
      </c>
      <c r="AD25">
        <f t="shared" si="9"/>
        <v>140.68</v>
      </c>
      <c r="AE25">
        <f t="shared" si="10"/>
        <v>19790.862400000002</v>
      </c>
      <c r="AF25">
        <f t="shared" si="11"/>
        <v>2829.2976000000017</v>
      </c>
      <c r="AG25">
        <f t="shared" si="12"/>
        <v>2793159195.1988826</v>
      </c>
      <c r="AH25">
        <f t="shared" si="13"/>
        <v>2868.6135573234237</v>
      </c>
      <c r="AI25">
        <f t="shared" si="14"/>
        <v>0.96444602552335645</v>
      </c>
      <c r="AJ25">
        <f t="shared" si="15"/>
        <v>0.74314235527202122</v>
      </c>
    </row>
    <row r="26" spans="1:36">
      <c r="A26" s="23" t="s">
        <v>85</v>
      </c>
      <c r="B26" s="2">
        <v>135.69999999999999</v>
      </c>
      <c r="C26">
        <v>176.2</v>
      </c>
      <c r="D26" s="4">
        <v>2.91</v>
      </c>
      <c r="E26">
        <v>319.3</v>
      </c>
      <c r="F26">
        <v>200</v>
      </c>
      <c r="G26">
        <v>94.1</v>
      </c>
      <c r="H26">
        <v>68.5</v>
      </c>
      <c r="I26" s="2">
        <f t="shared" si="0"/>
        <v>40.506163499641971</v>
      </c>
      <c r="J26">
        <v>988</v>
      </c>
      <c r="K26" s="2">
        <f t="shared" si="1"/>
        <v>7.280766396462786</v>
      </c>
      <c r="L26" s="3">
        <f t="shared" si="2"/>
        <v>0.33179805940563517</v>
      </c>
      <c r="M26" s="2">
        <f t="shared" si="16"/>
        <v>60.549828178694149</v>
      </c>
      <c r="N26" s="4">
        <f t="shared" si="17"/>
        <v>1.3572976575787805</v>
      </c>
      <c r="O26">
        <v>1911</v>
      </c>
      <c r="Q26" s="4">
        <f t="shared" si="3"/>
        <v>39.1755</v>
      </c>
      <c r="R26" s="5">
        <f t="shared" si="4"/>
        <v>2084.6297984799994</v>
      </c>
      <c r="S26" s="4">
        <f t="shared" si="5"/>
        <v>0.91670952866230682</v>
      </c>
      <c r="T26" s="5">
        <f t="shared" si="6"/>
        <v>2021.9761340381058</v>
      </c>
      <c r="U26">
        <v>1722</v>
      </c>
      <c r="V26" s="4">
        <f t="shared" si="18"/>
        <v>1.1097560975609757</v>
      </c>
      <c r="W26" s="5">
        <v>1551</v>
      </c>
      <c r="X26" s="4">
        <f t="shared" si="7"/>
        <v>1.2321083172147003</v>
      </c>
      <c r="Y26">
        <v>20.5</v>
      </c>
      <c r="AA26" s="4">
        <f t="shared" si="19"/>
        <v>0.27285248560427144</v>
      </c>
      <c r="AC26">
        <f t="shared" si="8"/>
        <v>129.88</v>
      </c>
      <c r="AD26">
        <f t="shared" si="9"/>
        <v>170.38</v>
      </c>
      <c r="AE26">
        <f t="shared" si="10"/>
        <v>22128.954399999999</v>
      </c>
      <c r="AF26">
        <f t="shared" si="11"/>
        <v>1781.3855999999978</v>
      </c>
      <c r="AG26">
        <f t="shared" si="12"/>
        <v>1872817254.7443817</v>
      </c>
      <c r="AH26">
        <f t="shared" si="13"/>
        <v>18935.695368573939</v>
      </c>
      <c r="AI26">
        <f t="shared" si="14"/>
        <v>0.56888377235026433</v>
      </c>
      <c r="AJ26">
        <f t="shared" si="15"/>
        <v>0.96994494442726598</v>
      </c>
    </row>
    <row r="27" spans="1:36">
      <c r="A27" s="23" t="s">
        <v>86</v>
      </c>
      <c r="B27" s="2">
        <v>134.1</v>
      </c>
      <c r="C27">
        <v>173.5</v>
      </c>
      <c r="D27" s="4">
        <v>2.93</v>
      </c>
      <c r="E27">
        <v>319.3</v>
      </c>
      <c r="F27">
        <v>200</v>
      </c>
      <c r="G27">
        <v>94.1</v>
      </c>
      <c r="H27">
        <v>68.5</v>
      </c>
      <c r="I27" s="2">
        <f t="shared" si="0"/>
        <v>40.506163499641971</v>
      </c>
      <c r="J27">
        <v>989</v>
      </c>
      <c r="K27" s="2">
        <f t="shared" si="1"/>
        <v>7.3750932140193886</v>
      </c>
      <c r="L27" s="3">
        <f t="shared" si="2"/>
        <v>0.33520620816081681</v>
      </c>
      <c r="M27" s="2">
        <f t="shared" si="16"/>
        <v>59.215017064846414</v>
      </c>
      <c r="N27" s="4">
        <f t="shared" si="17"/>
        <v>1.3273762514801724</v>
      </c>
      <c r="O27">
        <v>1343</v>
      </c>
      <c r="Q27" s="4">
        <f t="shared" si="3"/>
        <v>55.063000000000002</v>
      </c>
      <c r="R27" s="5">
        <f t="shared" si="4"/>
        <v>2037.2086321200011</v>
      </c>
      <c r="S27" s="4">
        <f t="shared" si="5"/>
        <v>0.65923537669405041</v>
      </c>
      <c r="T27" s="5">
        <f t="shared" si="6"/>
        <v>1974.3015112269336</v>
      </c>
      <c r="U27">
        <v>1280</v>
      </c>
      <c r="V27" s="4">
        <f t="shared" si="18"/>
        <v>1.0492187500000001</v>
      </c>
      <c r="W27" s="5">
        <v>1144</v>
      </c>
      <c r="X27" s="4">
        <f t="shared" si="7"/>
        <v>1.173951048951049</v>
      </c>
      <c r="Y27">
        <v>41</v>
      </c>
      <c r="AA27" s="4">
        <f t="shared" si="19"/>
        <v>0.27713661802643719</v>
      </c>
      <c r="AC27">
        <f t="shared" si="8"/>
        <v>128.23999999999998</v>
      </c>
      <c r="AD27">
        <f t="shared" si="9"/>
        <v>167.64</v>
      </c>
      <c r="AE27">
        <f t="shared" si="10"/>
        <v>21498.153599999994</v>
      </c>
      <c r="AF27">
        <f t="shared" si="11"/>
        <v>1768.1964000000044</v>
      </c>
      <c r="AG27">
        <f t="shared" si="12"/>
        <v>1796818617.4706783</v>
      </c>
      <c r="AH27">
        <f t="shared" si="13"/>
        <v>18130.567623993251</v>
      </c>
      <c r="AI27">
        <f t="shared" si="14"/>
        <v>0.57037825285166222</v>
      </c>
      <c r="AJ27">
        <f t="shared" si="15"/>
        <v>0.96912092364953129</v>
      </c>
    </row>
    <row r="28" spans="1:36">
      <c r="A28" s="23" t="s">
        <v>87</v>
      </c>
      <c r="B28" s="2">
        <v>134.80000000000001</v>
      </c>
      <c r="C28">
        <v>174.9</v>
      </c>
      <c r="D28" s="4">
        <v>2.93</v>
      </c>
      <c r="E28">
        <v>319.3</v>
      </c>
      <c r="F28">
        <v>200</v>
      </c>
      <c r="G28">
        <v>94.1</v>
      </c>
      <c r="H28">
        <v>68.5</v>
      </c>
      <c r="I28" s="2">
        <f t="shared" si="0"/>
        <v>40.506163499641971</v>
      </c>
      <c r="J28">
        <v>988</v>
      </c>
      <c r="K28" s="2">
        <f t="shared" si="1"/>
        <v>7.3293768545994062</v>
      </c>
      <c r="L28" s="3">
        <f t="shared" si="2"/>
        <v>0.33337701971088995</v>
      </c>
      <c r="M28" s="2">
        <f t="shared" si="16"/>
        <v>59.69283276450512</v>
      </c>
      <c r="N28" s="4">
        <f t="shared" si="17"/>
        <v>1.3380870684949979</v>
      </c>
      <c r="O28">
        <v>823</v>
      </c>
      <c r="Q28" s="4">
        <f t="shared" si="3"/>
        <v>59.256</v>
      </c>
      <c r="R28" s="5">
        <f t="shared" si="4"/>
        <v>2061.5416219200015</v>
      </c>
      <c r="S28" s="4">
        <f t="shared" si="5"/>
        <v>0.39921580590427519</v>
      </c>
      <c r="T28" s="5">
        <f t="shared" si="6"/>
        <v>1998.7956563384964</v>
      </c>
      <c r="U28">
        <v>856</v>
      </c>
      <c r="V28" s="4">
        <f t="shared" si="18"/>
        <v>0.96144859813084116</v>
      </c>
      <c r="W28" s="5">
        <v>774</v>
      </c>
      <c r="X28" s="4">
        <f t="shared" si="7"/>
        <v>1.0633074935400517</v>
      </c>
      <c r="Y28">
        <v>72</v>
      </c>
      <c r="AA28" s="4">
        <f t="shared" si="19"/>
        <v>0.27577149560071451</v>
      </c>
      <c r="AC28">
        <f t="shared" si="8"/>
        <v>128.94</v>
      </c>
      <c r="AD28">
        <f t="shared" si="9"/>
        <v>169.04</v>
      </c>
      <c r="AE28">
        <f t="shared" si="10"/>
        <v>21796.017599999999</v>
      </c>
      <c r="AF28">
        <f t="shared" si="11"/>
        <v>1780.5024000000049</v>
      </c>
      <c r="AG28">
        <f t="shared" si="12"/>
        <v>1834572721.6456852</v>
      </c>
      <c r="AH28">
        <f t="shared" si="13"/>
        <v>18549.012243759873</v>
      </c>
      <c r="AI28">
        <f t="shared" si="14"/>
        <v>0.569574705705301</v>
      </c>
      <c r="AJ28">
        <f t="shared" si="15"/>
        <v>0.96956357081790712</v>
      </c>
    </row>
    <row r="29" spans="1:36">
      <c r="A29" s="23" t="s">
        <v>88</v>
      </c>
      <c r="B29" s="2">
        <v>136.4</v>
      </c>
      <c r="C29">
        <v>174.6</v>
      </c>
      <c r="D29" s="4">
        <v>2.89</v>
      </c>
      <c r="E29">
        <v>319.3</v>
      </c>
      <c r="F29">
        <v>200</v>
      </c>
      <c r="G29">
        <v>94.1</v>
      </c>
      <c r="H29">
        <v>68.5</v>
      </c>
      <c r="I29" s="2">
        <f t="shared" si="0"/>
        <v>40.506163499641971</v>
      </c>
      <c r="J29">
        <v>1982</v>
      </c>
      <c r="K29" s="2">
        <f t="shared" si="1"/>
        <v>14.530791788856304</v>
      </c>
      <c r="L29" s="3">
        <f t="shared" si="2"/>
        <v>0.66327543026075264</v>
      </c>
      <c r="M29" s="2">
        <f t="shared" si="16"/>
        <v>60.415224913494804</v>
      </c>
      <c r="N29" s="4">
        <f t="shared" si="17"/>
        <v>1.3542803625334774</v>
      </c>
      <c r="O29">
        <v>1588</v>
      </c>
      <c r="Q29" s="4">
        <f t="shared" si="3"/>
        <v>33.347999999999999</v>
      </c>
      <c r="R29" s="5">
        <f t="shared" si="4"/>
        <v>2073.8118772799994</v>
      </c>
      <c r="S29" s="4">
        <f t="shared" si="5"/>
        <v>0.76573965912607866</v>
      </c>
      <c r="T29" s="5">
        <f t="shared" si="6"/>
        <v>1792.438861013828</v>
      </c>
      <c r="U29">
        <v>1420</v>
      </c>
      <c r="V29" s="4">
        <f t="shared" si="18"/>
        <v>1.1183098591549296</v>
      </c>
      <c r="W29" s="5">
        <v>1278</v>
      </c>
      <c r="X29" s="4">
        <f t="shared" si="7"/>
        <v>1.2425665101721439</v>
      </c>
      <c r="Y29">
        <v>21</v>
      </c>
      <c r="AA29" s="4">
        <f t="shared" si="19"/>
        <v>0.27162540539541152</v>
      </c>
      <c r="AC29">
        <f t="shared" si="8"/>
        <v>130.62</v>
      </c>
      <c r="AD29">
        <f t="shared" si="9"/>
        <v>168.82</v>
      </c>
      <c r="AE29">
        <f t="shared" si="10"/>
        <v>22051.268400000001</v>
      </c>
      <c r="AF29">
        <f t="shared" si="11"/>
        <v>1764.1715999999979</v>
      </c>
      <c r="AG29">
        <f t="shared" si="12"/>
        <v>1876243031.9795685</v>
      </c>
      <c r="AH29">
        <f t="shared" si="13"/>
        <v>4713.9127235785008</v>
      </c>
      <c r="AI29">
        <f t="shared" si="14"/>
        <v>0.76861106837117232</v>
      </c>
      <c r="AJ29">
        <f t="shared" si="15"/>
        <v>0.86432085795784974</v>
      </c>
    </row>
    <row r="30" spans="1:36">
      <c r="A30" s="23" t="s">
        <v>89</v>
      </c>
      <c r="B30" s="2">
        <v>137.19999999999999</v>
      </c>
      <c r="C30">
        <v>176.2</v>
      </c>
      <c r="D30" s="4">
        <v>4.82</v>
      </c>
      <c r="E30">
        <v>316.60000000000002</v>
      </c>
      <c r="F30">
        <v>200</v>
      </c>
      <c r="G30">
        <v>94.1</v>
      </c>
      <c r="H30">
        <v>68.5</v>
      </c>
      <c r="I30" s="2">
        <f t="shared" si="0"/>
        <v>40.506163499641971</v>
      </c>
      <c r="J30">
        <v>990</v>
      </c>
      <c r="K30" s="2">
        <f t="shared" si="1"/>
        <v>7.2157434402332363</v>
      </c>
      <c r="L30" s="3">
        <f t="shared" si="2"/>
        <v>0.3062463971650255</v>
      </c>
      <c r="M30" s="2">
        <f t="shared" si="16"/>
        <v>36.556016597510371</v>
      </c>
      <c r="N30" s="4">
        <f t="shared" si="17"/>
        <v>0.81597536331440335</v>
      </c>
      <c r="O30">
        <v>2058</v>
      </c>
      <c r="Q30" s="4">
        <f t="shared" si="3"/>
        <v>41.16</v>
      </c>
      <c r="R30" s="5">
        <f t="shared" si="4"/>
        <v>2382.4607718399989</v>
      </c>
      <c r="S30" s="4">
        <f t="shared" si="5"/>
        <v>0.86381275373973332</v>
      </c>
      <c r="T30" s="5">
        <f t="shared" si="6"/>
        <v>2325.3503384955902</v>
      </c>
      <c r="U30">
        <v>1981</v>
      </c>
      <c r="V30" s="4">
        <f t="shared" si="18"/>
        <v>1.0388692579505301</v>
      </c>
      <c r="W30" s="5">
        <v>1818</v>
      </c>
      <c r="X30" s="4">
        <f t="shared" si="7"/>
        <v>1.1320132013201321</v>
      </c>
      <c r="Y30">
        <v>20</v>
      </c>
      <c r="AA30" s="4">
        <f t="shared" si="19"/>
        <v>0.3891282581429466</v>
      </c>
      <c r="AC30">
        <f t="shared" si="8"/>
        <v>127.55999999999999</v>
      </c>
      <c r="AD30">
        <f t="shared" si="9"/>
        <v>166.56</v>
      </c>
      <c r="AE30">
        <f t="shared" si="10"/>
        <v>21246.393599999999</v>
      </c>
      <c r="AF30">
        <f t="shared" si="11"/>
        <v>2928.2463999999964</v>
      </c>
      <c r="AG30">
        <f t="shared" si="12"/>
        <v>2522635052.5576921</v>
      </c>
      <c r="AH30">
        <f t="shared" si="13"/>
        <v>25402.928290037427</v>
      </c>
      <c r="AI30">
        <f t="shared" si="14"/>
        <v>0.55804929959060701</v>
      </c>
      <c r="AJ30">
        <f t="shared" si="15"/>
        <v>0.97602880432725792</v>
      </c>
    </row>
    <row r="31" spans="1:36">
      <c r="A31" s="23" t="s">
        <v>90</v>
      </c>
      <c r="B31" s="2">
        <v>137.19999999999999</v>
      </c>
      <c r="C31">
        <v>175.1</v>
      </c>
      <c r="D31" s="4">
        <v>4.83</v>
      </c>
      <c r="E31">
        <v>316.60000000000002</v>
      </c>
      <c r="F31">
        <v>200</v>
      </c>
      <c r="G31">
        <v>94.1</v>
      </c>
      <c r="H31">
        <v>68.5</v>
      </c>
      <c r="I31" s="2">
        <f t="shared" si="0"/>
        <v>40.506163499641971</v>
      </c>
      <c r="J31">
        <v>1980</v>
      </c>
      <c r="K31" s="2">
        <f t="shared" si="1"/>
        <v>14.431486880466473</v>
      </c>
      <c r="L31" s="3">
        <f t="shared" si="2"/>
        <v>0.61234096380483105</v>
      </c>
      <c r="M31" s="2">
        <f t="shared" si="16"/>
        <v>36.252587991718421</v>
      </c>
      <c r="N31" s="4">
        <f t="shared" si="17"/>
        <v>0.80920246271155338</v>
      </c>
      <c r="O31">
        <v>1813</v>
      </c>
      <c r="Q31" s="4">
        <f t="shared" si="3"/>
        <v>39.886000000000003</v>
      </c>
      <c r="R31" s="5">
        <f t="shared" si="4"/>
        <v>2370.9457654399994</v>
      </c>
      <c r="S31" s="4">
        <f t="shared" si="5"/>
        <v>0.76467375442624008</v>
      </c>
      <c r="T31" s="5">
        <f t="shared" si="6"/>
        <v>2098.8954483725684</v>
      </c>
      <c r="U31">
        <v>1661</v>
      </c>
      <c r="V31" s="4">
        <f t="shared" si="18"/>
        <v>1.0915111378687539</v>
      </c>
      <c r="W31" s="5">
        <v>1538</v>
      </c>
      <c r="X31" s="4">
        <f t="shared" si="7"/>
        <v>1.1788036410923277</v>
      </c>
      <c r="Y31">
        <v>22</v>
      </c>
      <c r="AA31" s="4">
        <f t="shared" si="19"/>
        <v>0.39038466140039707</v>
      </c>
      <c r="AC31">
        <f t="shared" si="8"/>
        <v>127.53999999999999</v>
      </c>
      <c r="AD31">
        <f t="shared" si="9"/>
        <v>165.44</v>
      </c>
      <c r="AE31">
        <f t="shared" si="10"/>
        <v>21100.2176</v>
      </c>
      <c r="AF31">
        <f t="shared" si="11"/>
        <v>2923.5023999999976</v>
      </c>
      <c r="AG31">
        <f t="shared" si="12"/>
        <v>2511687637.7012916</v>
      </c>
      <c r="AH31">
        <f t="shared" si="13"/>
        <v>6323.1719628656256</v>
      </c>
      <c r="AI31">
        <f t="shared" si="14"/>
        <v>0.73077652917622193</v>
      </c>
      <c r="AJ31">
        <f t="shared" si="15"/>
        <v>0.88525662584401454</v>
      </c>
    </row>
    <row r="32" spans="1:36">
      <c r="A32" s="23" t="s">
        <v>91</v>
      </c>
      <c r="B32" s="2">
        <v>125</v>
      </c>
      <c r="C32">
        <v>200.5</v>
      </c>
      <c r="D32" s="4">
        <v>2.92</v>
      </c>
      <c r="E32">
        <v>319.3</v>
      </c>
      <c r="F32">
        <v>200</v>
      </c>
      <c r="G32">
        <v>94.1</v>
      </c>
      <c r="H32">
        <v>68.5</v>
      </c>
      <c r="I32" s="2">
        <f t="shared" si="0"/>
        <v>40.506163499641971</v>
      </c>
      <c r="J32">
        <v>919</v>
      </c>
      <c r="K32" s="2">
        <f t="shared" si="1"/>
        <v>7.3520000000000003</v>
      </c>
      <c r="L32" s="3">
        <f t="shared" si="2"/>
        <v>0.33120569391179372</v>
      </c>
      <c r="M32" s="2">
        <f t="shared" si="16"/>
        <v>68.664383561643831</v>
      </c>
      <c r="N32" s="4">
        <f t="shared" si="17"/>
        <v>1.5391952342501272</v>
      </c>
      <c r="O32">
        <v>1529</v>
      </c>
      <c r="Q32" s="4">
        <f t="shared" si="3"/>
        <v>62.689</v>
      </c>
      <c r="R32" s="5">
        <f t="shared" si="4"/>
        <v>2184.9783015200001</v>
      </c>
      <c r="S32" s="4">
        <f t="shared" si="5"/>
        <v>0.69977811630272813</v>
      </c>
      <c r="T32" s="5">
        <f t="shared" si="6"/>
        <v>2119.620903467458</v>
      </c>
      <c r="U32">
        <v>1484</v>
      </c>
      <c r="V32" s="4">
        <f t="shared" si="18"/>
        <v>1.0303234501347709</v>
      </c>
      <c r="W32" s="5">
        <v>1330</v>
      </c>
      <c r="X32" s="4">
        <f t="shared" si="7"/>
        <v>1.149624060150376</v>
      </c>
      <c r="Y32">
        <v>41</v>
      </c>
      <c r="AA32" s="4">
        <f t="shared" si="19"/>
        <v>0.27280538095290724</v>
      </c>
      <c r="AC32">
        <f t="shared" si="8"/>
        <v>119.16</v>
      </c>
      <c r="AD32">
        <f t="shared" si="9"/>
        <v>194.66</v>
      </c>
      <c r="AE32">
        <f t="shared" si="10"/>
        <v>23195.685600000001</v>
      </c>
      <c r="AF32">
        <f t="shared" si="11"/>
        <v>1866.8143999999993</v>
      </c>
      <c r="AG32">
        <f t="shared" si="12"/>
        <v>1704444314.9092026</v>
      </c>
      <c r="AH32">
        <f t="shared" si="13"/>
        <v>19918.266545388196</v>
      </c>
      <c r="AI32">
        <f t="shared" si="14"/>
        <v>0.56862520370053482</v>
      </c>
      <c r="AJ32">
        <f t="shared" si="15"/>
        <v>0.97008785029715139</v>
      </c>
    </row>
    <row r="33" spans="1:36">
      <c r="A33" s="23" t="s">
        <v>92</v>
      </c>
      <c r="B33" s="2">
        <v>125.1</v>
      </c>
      <c r="C33">
        <v>201.4</v>
      </c>
      <c r="D33" s="4">
        <v>2.9</v>
      </c>
      <c r="E33">
        <v>319.3</v>
      </c>
      <c r="F33">
        <v>200</v>
      </c>
      <c r="G33">
        <v>94.1</v>
      </c>
      <c r="H33">
        <v>68.5</v>
      </c>
      <c r="I33" s="2">
        <f t="shared" si="0"/>
        <v>40.506163499641971</v>
      </c>
      <c r="J33">
        <v>1831</v>
      </c>
      <c r="K33" s="2">
        <f t="shared" si="1"/>
        <v>14.63629096722622</v>
      </c>
      <c r="L33" s="3">
        <f t="shared" si="2"/>
        <v>0.66010240020166244</v>
      </c>
      <c r="M33" s="2">
        <f t="shared" si="16"/>
        <v>69.448275862068968</v>
      </c>
      <c r="N33" s="4">
        <f t="shared" si="17"/>
        <v>1.5567671285917772</v>
      </c>
      <c r="O33">
        <v>1548</v>
      </c>
      <c r="Q33" s="4">
        <f t="shared" si="3"/>
        <v>58.823999999999998</v>
      </c>
      <c r="R33" s="5">
        <f t="shared" si="4"/>
        <v>2192.3701380000002</v>
      </c>
      <c r="S33" s="4">
        <f t="shared" si="5"/>
        <v>0.70608515102845282</v>
      </c>
      <c r="T33" s="5">
        <f t="shared" si="6"/>
        <v>1897.9197866175614</v>
      </c>
      <c r="U33">
        <v>1309</v>
      </c>
      <c r="V33" s="4">
        <f t="shared" si="18"/>
        <v>1.1825821237585943</v>
      </c>
      <c r="W33" s="5">
        <v>1147</v>
      </c>
      <c r="X33" s="4">
        <f t="shared" si="7"/>
        <v>1.3496076721883175</v>
      </c>
      <c r="Y33">
        <v>38</v>
      </c>
      <c r="AA33" s="4">
        <f t="shared" si="19"/>
        <v>0.27090186447339776</v>
      </c>
      <c r="AC33">
        <f t="shared" si="8"/>
        <v>119.3</v>
      </c>
      <c r="AD33">
        <f t="shared" si="9"/>
        <v>195.6</v>
      </c>
      <c r="AE33">
        <f t="shared" si="10"/>
        <v>23335.079999999998</v>
      </c>
      <c r="AF33">
        <f t="shared" si="11"/>
        <v>1860.0600000000013</v>
      </c>
      <c r="AG33">
        <f t="shared" si="12"/>
        <v>1709102846.1197014</v>
      </c>
      <c r="AH33">
        <f t="shared" si="13"/>
        <v>5031.4279060030085</v>
      </c>
      <c r="AI33">
        <f t="shared" si="14"/>
        <v>0.76617834139717234</v>
      </c>
      <c r="AJ33">
        <f t="shared" si="15"/>
        <v>0.86569313900113032</v>
      </c>
    </row>
    <row r="34" spans="1:36">
      <c r="I34" s="2"/>
      <c r="K34" s="2"/>
      <c r="L34" s="3"/>
      <c r="M34" s="2"/>
      <c r="N34" s="4"/>
      <c r="Q34" s="4"/>
      <c r="R34" s="5"/>
      <c r="S34" s="4"/>
      <c r="T34" s="5"/>
      <c r="V34" s="4"/>
      <c r="W34" s="5"/>
      <c r="X34" s="4"/>
      <c r="AA34" s="4"/>
    </row>
    <row r="35" spans="1:36">
      <c r="A35" s="21" t="s">
        <v>93</v>
      </c>
      <c r="B35" s="21">
        <v>2006</v>
      </c>
      <c r="C35" s="23" t="s">
        <v>94</v>
      </c>
      <c r="D35" t="s">
        <v>95</v>
      </c>
      <c r="G35" s="23" t="s">
        <v>65</v>
      </c>
      <c r="H35" s="23" t="s">
        <v>96</v>
      </c>
      <c r="I35" s="2"/>
      <c r="K35" s="2"/>
      <c r="L35" s="3"/>
      <c r="M35" s="2"/>
      <c r="N35" s="4"/>
      <c r="Q35" s="4"/>
      <c r="R35" s="5"/>
      <c r="S35" s="4"/>
      <c r="T35" s="5"/>
      <c r="V35" s="4"/>
      <c r="W35" s="5"/>
      <c r="X35" s="4"/>
      <c r="AA35" s="4"/>
    </row>
    <row r="36" spans="1:36">
      <c r="A36" s="23" t="s">
        <v>97</v>
      </c>
      <c r="B36" s="2">
        <v>100.5</v>
      </c>
      <c r="C36" s="2">
        <v>200.7</v>
      </c>
      <c r="D36">
        <v>3.62</v>
      </c>
      <c r="E36">
        <v>283.60000000000002</v>
      </c>
      <c r="F36">
        <v>200</v>
      </c>
      <c r="G36">
        <v>55</v>
      </c>
      <c r="H36">
        <f>0.95*0.8*G36</f>
        <v>41.8</v>
      </c>
      <c r="I36" s="2">
        <f t="shared" ref="I36:I54" si="20">22*((H36+8)/10)^0.3</f>
        <v>35.611599757480469</v>
      </c>
      <c r="J36">
        <v>1800</v>
      </c>
      <c r="K36" s="2">
        <f>J36/B36</f>
        <v>17.910447761194028</v>
      </c>
      <c r="L36" s="3">
        <f>SQRT(R36/AH36)</f>
        <v>0.64860245694050633</v>
      </c>
      <c r="M36" s="2">
        <f t="shared" si="16"/>
        <v>55.44198895027624</v>
      </c>
      <c r="N36" s="4">
        <f t="shared" si="17"/>
        <v>1.1712635831465281</v>
      </c>
      <c r="O36">
        <v>1002.3</v>
      </c>
      <c r="Q36" s="4">
        <f>Y36*O36/1000</f>
        <v>40.091999999999999</v>
      </c>
      <c r="R36" s="5">
        <f>(E36*AF36+H36*AE36)/1000</f>
        <v>1357.7364127200003</v>
      </c>
      <c r="S36" s="4">
        <f>O36/R36</f>
        <v>0.73821397924510079</v>
      </c>
      <c r="T36" s="5">
        <f>AJ36*R36</f>
        <v>1182.0301413202196</v>
      </c>
      <c r="U36">
        <v>844</v>
      </c>
      <c r="V36" s="4">
        <f>O36/U36</f>
        <v>1.1875592417061611</v>
      </c>
      <c r="W36" s="5">
        <v>756</v>
      </c>
      <c r="X36" s="4">
        <f>O36/W36</f>
        <v>1.3257936507936507</v>
      </c>
      <c r="Y36">
        <v>40</v>
      </c>
      <c r="AA36" s="4">
        <f t="shared" si="19"/>
        <v>0.44454687948659544</v>
      </c>
      <c r="AC36">
        <f>B36-2*D36</f>
        <v>93.26</v>
      </c>
      <c r="AD36">
        <f>C36-2*D36</f>
        <v>193.45999999999998</v>
      </c>
      <c r="AE36">
        <f>AC36*AD36</f>
        <v>18042.079599999997</v>
      </c>
      <c r="AF36">
        <f>B36*C36-AE36</f>
        <v>2128.2704000000012</v>
      </c>
      <c r="AG36">
        <f>((C36*B36^3-AD36*AC36^3)*F36+(AD36*AC36^3)*I36*0.6)/12</f>
        <v>1059506319.0424334</v>
      </c>
      <c r="AH36">
        <f>(PI()^2*AG36)/(J36*J36)</f>
        <v>3227.4408115441934</v>
      </c>
      <c r="AI36">
        <f>0.5*(1+0.21*(L36-0.2)+L36*L36)</f>
        <v>0.75744583155338385</v>
      </c>
      <c r="AJ36">
        <f>IF((1/(AI36+SQRT(AI36*AI36-L36*L36)))&gt;1,1,1/(AI36+SQRT(AI36*AI36-L36*L36)))</f>
        <v>0.87058881992581882</v>
      </c>
    </row>
    <row r="37" spans="1:36">
      <c r="A37" s="23" t="s">
        <v>98</v>
      </c>
      <c r="B37" s="2">
        <v>99.4</v>
      </c>
      <c r="C37" s="2">
        <v>200.4</v>
      </c>
      <c r="D37">
        <v>3.64</v>
      </c>
      <c r="E37">
        <v>283.60000000000002</v>
      </c>
      <c r="F37">
        <v>200</v>
      </c>
      <c r="G37">
        <v>55</v>
      </c>
      <c r="H37">
        <f>0.95*0.8*G37</f>
        <v>41.8</v>
      </c>
      <c r="I37" s="2">
        <f t="shared" si="20"/>
        <v>35.611599757480469</v>
      </c>
      <c r="J37">
        <v>1800</v>
      </c>
      <c r="K37" s="2">
        <f>J37/B37</f>
        <v>18.108651911468812</v>
      </c>
      <c r="L37" s="3">
        <f>SQRT(R37/AH37)</f>
        <v>0.65444032101402072</v>
      </c>
      <c r="M37" s="2">
        <f t="shared" si="16"/>
        <v>55.054945054945051</v>
      </c>
      <c r="N37" s="4">
        <f t="shared" si="17"/>
        <v>1.163086920868283</v>
      </c>
      <c r="O37">
        <v>655.20000000000005</v>
      </c>
      <c r="Q37" s="4">
        <f>MAX(Y37,Z37)*O37/1000</f>
        <v>19.655999999999999</v>
      </c>
      <c r="R37" s="5">
        <f>(E37*AF37+H37*AE37)/1000</f>
        <v>1347.5700940800004</v>
      </c>
      <c r="S37" s="4">
        <f>O37/R37</f>
        <v>0.48620847470447287</v>
      </c>
      <c r="T37" s="5">
        <f>AJ37*R37</f>
        <v>1169.8508223097338</v>
      </c>
      <c r="U37">
        <v>590</v>
      </c>
      <c r="V37" s="4">
        <f>O37/U37</f>
        <v>1.1105084745762712</v>
      </c>
      <c r="W37" s="5">
        <v>606</v>
      </c>
      <c r="X37" s="4">
        <f>O37/W37</f>
        <v>1.0811881188118813</v>
      </c>
      <c r="Y37">
        <v>0</v>
      </c>
      <c r="Z37">
        <v>30</v>
      </c>
      <c r="AA37" s="4">
        <f t="shared" si="19"/>
        <v>0.4481689930736521</v>
      </c>
      <c r="AC37">
        <f>B37-2*D37</f>
        <v>92.12</v>
      </c>
      <c r="AD37">
        <f>C37-2*D37</f>
        <v>193.12</v>
      </c>
      <c r="AE37">
        <f>AC37*AD37</f>
        <v>17790.214400000001</v>
      </c>
      <c r="AF37">
        <f>B37*C37-AE37</f>
        <v>2129.5456000000013</v>
      </c>
      <c r="AG37">
        <f>((C37*B37^3-AD37*AC37^3)*F37+(AD37*AC37^3)*I37*0.6)/12</f>
        <v>1032895846.8143183</v>
      </c>
      <c r="AH37">
        <f>(PI()^2*AG37)/(J37*J37)</f>
        <v>3146.3806776498504</v>
      </c>
      <c r="AI37">
        <f>0.5*(1+0.21*(L37-0.2)+L37*L37)</f>
        <v>0.7618623005909394</v>
      </c>
      <c r="AJ37">
        <f>IF((1/(AI37+SQRT(AI37*AI37-L37*L37)))&gt;1,1,1/(AI37+SQRT(AI37*AI37-L37*L37)))</f>
        <v>0.86811871786780981</v>
      </c>
    </row>
    <row r="38" spans="1:36">
      <c r="A38" s="23" t="s">
        <v>99</v>
      </c>
      <c r="B38" s="2">
        <v>149</v>
      </c>
      <c r="C38" s="2">
        <v>149</v>
      </c>
      <c r="D38">
        <v>3.64</v>
      </c>
      <c r="E38">
        <v>283.60000000000002</v>
      </c>
      <c r="F38">
        <v>200</v>
      </c>
      <c r="G38">
        <v>55</v>
      </c>
      <c r="H38">
        <f>0.95*0.8*G38</f>
        <v>41.8</v>
      </c>
      <c r="I38" s="2">
        <f t="shared" si="20"/>
        <v>35.611599757480469</v>
      </c>
      <c r="J38">
        <v>450</v>
      </c>
      <c r="K38" s="2">
        <f>J38/B38</f>
        <v>3.0201342281879193</v>
      </c>
      <c r="L38" s="3">
        <f>SQRT(R38/AH38)</f>
        <v>0.11561814100716455</v>
      </c>
      <c r="M38" s="2">
        <f t="shared" si="16"/>
        <v>40.934065934065934</v>
      </c>
      <c r="N38" s="4">
        <f t="shared" si="17"/>
        <v>0.86477021561563971</v>
      </c>
      <c r="O38">
        <v>1081.9000000000001</v>
      </c>
      <c r="Q38" s="4">
        <f>MAX(Y38,Z38)*O38/1000</f>
        <v>32.457000000000001</v>
      </c>
      <c r="R38" s="5">
        <f>(E38*AF38+H38*AE38)/1000</f>
        <v>1439.7573788800005</v>
      </c>
      <c r="S38" s="4">
        <f>O38/R38</f>
        <v>0.75144605325212455</v>
      </c>
      <c r="T38" s="5">
        <f>AJ38*R38</f>
        <v>1439.7573788800005</v>
      </c>
      <c r="U38">
        <v>972</v>
      </c>
      <c r="V38" s="4">
        <f>O38/U38</f>
        <v>1.1130658436213994</v>
      </c>
      <c r="W38" s="5">
        <v>966</v>
      </c>
      <c r="X38" s="4">
        <f>O38/W38</f>
        <v>1.1199792960662527</v>
      </c>
      <c r="Y38">
        <v>30</v>
      </c>
      <c r="AA38" s="4">
        <f t="shared" si="19"/>
        <v>0.4168916558892159</v>
      </c>
      <c r="AC38">
        <f>B38-2*D38</f>
        <v>141.72</v>
      </c>
      <c r="AD38">
        <f>C38-2*D38</f>
        <v>141.72</v>
      </c>
      <c r="AE38">
        <f>AC38*AD38</f>
        <v>20084.558399999998</v>
      </c>
      <c r="AF38">
        <f>B38*C38-AE38</f>
        <v>2116.4416000000019</v>
      </c>
      <c r="AG38">
        <f>((C38*B38^3-AD38*AC38^3)*F38+(AD38*AC38^3)*I38*0.6)/12</f>
        <v>2209849160.9259095</v>
      </c>
      <c r="AH38">
        <f>(PI()^2*AG38)/(J38*J38)</f>
        <v>107705.36792305176</v>
      </c>
      <c r="AI38">
        <f>0.5*(1+0.21*(L38-0.2)+L38*L38)</f>
        <v>0.49782368207072858</v>
      </c>
      <c r="AJ38">
        <f>IF((1/(AI38+SQRT(AI38*AI38-L38*L38)))&gt;1,1,1/(AI38+SQRT(AI38*AI38-L38*L38)))</f>
        <v>1</v>
      </c>
    </row>
    <row r="39" spans="1:36">
      <c r="A39" s="23" t="s">
        <v>100</v>
      </c>
      <c r="B39" s="2">
        <v>99.3</v>
      </c>
      <c r="C39" s="2">
        <v>148.9</v>
      </c>
      <c r="D39">
        <v>3.63</v>
      </c>
      <c r="E39">
        <v>283.60000000000002</v>
      </c>
      <c r="F39">
        <v>200</v>
      </c>
      <c r="G39">
        <v>55</v>
      </c>
      <c r="H39">
        <f>0.95*0.8*G39</f>
        <v>41.8</v>
      </c>
      <c r="I39" s="2">
        <f t="shared" si="20"/>
        <v>35.611599757480469</v>
      </c>
      <c r="J39">
        <v>450</v>
      </c>
      <c r="K39" s="2">
        <f>J39/B39</f>
        <v>4.5317220543806647</v>
      </c>
      <c r="L39" s="3">
        <f>SQRT(R39/AH39)</f>
        <v>0.16485262439008871</v>
      </c>
      <c r="M39" s="2">
        <f t="shared" si="16"/>
        <v>41.019283746556475</v>
      </c>
      <c r="N39" s="4">
        <f t="shared" si="17"/>
        <v>0.866570521165556</v>
      </c>
      <c r="O39">
        <v>856.5</v>
      </c>
      <c r="Q39" s="4">
        <f t="shared" ref="Q39:Q54" si="21">MAX(Y39,Z39)*O39/1000</f>
        <v>25.695</v>
      </c>
      <c r="R39" s="5">
        <f>(E39*AF39+H39*AE39)/1000</f>
        <v>1041.0076459200002</v>
      </c>
      <c r="S39" s="4">
        <f>O39/R39</f>
        <v>0.82276052760694196</v>
      </c>
      <c r="T39" s="5">
        <f>AJ39*R39</f>
        <v>1041.0076459200002</v>
      </c>
      <c r="U39">
        <v>700</v>
      </c>
      <c r="V39" s="4">
        <f>O39/U39</f>
        <v>1.2235714285714285</v>
      </c>
      <c r="W39" s="5">
        <v>695</v>
      </c>
      <c r="X39" s="4">
        <f>O39/W39</f>
        <v>1.2323741007194244</v>
      </c>
      <c r="Y39">
        <v>30</v>
      </c>
      <c r="AA39" s="4">
        <f t="shared" si="19"/>
        <v>0.47653832494341097</v>
      </c>
      <c r="AC39">
        <f>B39-2*D39</f>
        <v>92.039999999999992</v>
      </c>
      <c r="AD39">
        <f>C39-2*D39</f>
        <v>141.64000000000001</v>
      </c>
      <c r="AE39">
        <f>AC39*AD39</f>
        <v>13036.545599999999</v>
      </c>
      <c r="AF39">
        <f>B39*C39-AE39</f>
        <v>1749.224400000001</v>
      </c>
      <c r="AG39">
        <f>((C39*B39^3-AD39*AC39^3)*F39+(AD39*AC39^3)*I39*0.6)/12</f>
        <v>785936522.26089478</v>
      </c>
      <c r="AH39">
        <f>(PI()^2*AG39)/(J39*J39)</f>
        <v>38305.592884360449</v>
      </c>
      <c r="AI39">
        <f>0.5*(1+0.21*(L39-0.2)+L39*L39)</f>
        <v>0.5098977194451092</v>
      </c>
      <c r="AJ39">
        <f>IF((1/(AI39+SQRT(AI39*AI39-L39*L39)))&gt;1,1,1/(AI39+SQRT(AI39*AI39-L39*L39)))</f>
        <v>1</v>
      </c>
    </row>
    <row r="40" spans="1:36">
      <c r="A40" s="23" t="s">
        <v>101</v>
      </c>
      <c r="B40" s="2">
        <v>99.1</v>
      </c>
      <c r="C40" s="2">
        <v>200</v>
      </c>
      <c r="D40">
        <v>3.66</v>
      </c>
      <c r="E40">
        <v>283.60000000000002</v>
      </c>
      <c r="F40">
        <v>200</v>
      </c>
      <c r="G40">
        <v>55</v>
      </c>
      <c r="H40">
        <f>0.95*0.8*G40</f>
        <v>41.8</v>
      </c>
      <c r="I40" s="2">
        <f t="shared" si="20"/>
        <v>35.611599757480469</v>
      </c>
      <c r="J40">
        <v>600</v>
      </c>
      <c r="K40" s="2">
        <f>J40/B40</f>
        <v>6.0544904137235118</v>
      </c>
      <c r="L40" s="3">
        <f>SQRT(R40/AH40)</f>
        <v>0.21859377325569035</v>
      </c>
      <c r="M40" s="2">
        <f t="shared" si="16"/>
        <v>54.644808743169399</v>
      </c>
      <c r="N40" s="4">
        <f t="shared" si="17"/>
        <v>1.1544224098144014</v>
      </c>
      <c r="O40">
        <v>1036.8</v>
      </c>
      <c r="Q40" s="4">
        <f t="shared" si="21"/>
        <v>41.472000000000001</v>
      </c>
      <c r="R40" s="5">
        <f>(E40*AF40+H40*AE40)/1000</f>
        <v>1344.9195972800003</v>
      </c>
      <c r="S40" s="4">
        <f>O40/R40</f>
        <v>0.77090110226429198</v>
      </c>
      <c r="T40" s="5">
        <f>AJ40*R40</f>
        <v>1339.4282175961787</v>
      </c>
      <c r="U40">
        <v>896</v>
      </c>
      <c r="V40" s="4">
        <f>O40/U40</f>
        <v>1.157142857142857</v>
      </c>
      <c r="W40" s="5">
        <v>887</v>
      </c>
      <c r="X40" s="4">
        <f>O40/W40</f>
        <v>1.1688838782412627</v>
      </c>
      <c r="Y40">
        <v>40</v>
      </c>
      <c r="AA40" s="4">
        <f t="shared" si="19"/>
        <v>0.45037731310111506</v>
      </c>
      <c r="AC40">
        <f>B40-2*D40</f>
        <v>91.78</v>
      </c>
      <c r="AD40">
        <f>C40-2*D40</f>
        <v>192.68</v>
      </c>
      <c r="AE40">
        <f>AC40*AD40</f>
        <v>17684.170399999999</v>
      </c>
      <c r="AF40">
        <f>B40*C40-AE40</f>
        <v>2135.8296000000009</v>
      </c>
      <c r="AG40">
        <f>((C40*B40^3-AD40*AC40^3)*F40+(AD40*AC40^3)*I40*0.6)/12</f>
        <v>1026652582.2661566</v>
      </c>
      <c r="AH40">
        <f>(PI()^2*AG40)/(J40*J40)</f>
        <v>28146.263456455035</v>
      </c>
      <c r="AI40">
        <f>0.5*(1+0.21*(L40-0.2)+L40*L40)</f>
        <v>0.52584396504492759</v>
      </c>
      <c r="AJ40">
        <f>IF((1/(AI40+SQRT(AI40*AI40-L40*L40)))&gt;1,1,1/(AI40+SQRT(AI40*AI40-L40*L40)))</f>
        <v>0.99591694574536083</v>
      </c>
    </row>
    <row r="41" spans="1:36">
      <c r="I41" s="2"/>
      <c r="K41" s="2"/>
      <c r="L41" s="3"/>
      <c r="M41" s="2"/>
      <c r="N41" s="4"/>
      <c r="Q41" s="4"/>
      <c r="R41" s="5"/>
      <c r="S41" s="4"/>
      <c r="T41" s="5"/>
      <c r="V41" s="4"/>
      <c r="W41" s="5"/>
      <c r="X41" s="4"/>
      <c r="AA41" s="4"/>
    </row>
    <row r="42" spans="1:36">
      <c r="A42" s="21" t="s">
        <v>102</v>
      </c>
      <c r="B42" s="21">
        <v>2004</v>
      </c>
      <c r="C42" s="23" t="s">
        <v>103</v>
      </c>
      <c r="G42" s="23" t="s">
        <v>104</v>
      </c>
      <c r="H42" s="23" t="s">
        <v>105</v>
      </c>
      <c r="I42" s="2"/>
      <c r="K42" s="2"/>
      <c r="L42" s="3"/>
      <c r="M42" s="2"/>
      <c r="N42" s="4"/>
      <c r="Q42" s="4"/>
      <c r="R42" s="5"/>
      <c r="S42" s="4"/>
      <c r="T42" s="5"/>
      <c r="V42" s="4"/>
      <c r="W42" s="5"/>
      <c r="X42" s="4"/>
      <c r="AA42" s="4"/>
    </row>
    <row r="43" spans="1:36">
      <c r="A43" s="23" t="s">
        <v>106</v>
      </c>
      <c r="B43">
        <v>150</v>
      </c>
      <c r="C43">
        <v>150</v>
      </c>
      <c r="D43">
        <v>4.18</v>
      </c>
      <c r="E43">
        <v>550</v>
      </c>
      <c r="F43">
        <v>200</v>
      </c>
      <c r="G43">
        <v>70.8</v>
      </c>
      <c r="H43">
        <f t="shared" ref="H43:H54" si="22">0.8*G43</f>
        <v>56.64</v>
      </c>
      <c r="I43" s="2">
        <f t="shared" si="20"/>
        <v>38.509961563077916</v>
      </c>
      <c r="J43">
        <v>870</v>
      </c>
      <c r="K43" s="2">
        <f t="shared" ref="K43:K54" si="23">J43/B43</f>
        <v>5.8</v>
      </c>
      <c r="L43" s="3">
        <f t="shared" ref="L43:L54" si="24">SQRT(R43/AH43)</f>
        <v>0.27542075287035334</v>
      </c>
      <c r="M43" s="2">
        <f t="shared" si="16"/>
        <v>35.885167464114836</v>
      </c>
      <c r="N43" s="4">
        <f t="shared" si="17"/>
        <v>1.0557450339615551</v>
      </c>
      <c r="O43">
        <v>1678</v>
      </c>
      <c r="Q43" s="4">
        <f t="shared" si="21"/>
        <v>50.34</v>
      </c>
      <c r="R43" s="5">
        <f t="shared" ref="R43:R54" si="25">(E43*AF43+H43*AE43)/1000</f>
        <v>2477.2661469440022</v>
      </c>
      <c r="S43" s="4">
        <f t="shared" ref="S43:S54" si="26">O43/R43</f>
        <v>0.67735959742154039</v>
      </c>
      <c r="T43" s="5">
        <f t="shared" ref="T43:T54" si="27">AJ43*R43</f>
        <v>2435.5816986626955</v>
      </c>
      <c r="U43">
        <v>1601</v>
      </c>
      <c r="V43" s="4">
        <f t="shared" ref="V43:V54" si="28">O43/U43</f>
        <v>1.0480949406620863</v>
      </c>
      <c r="W43" s="5">
        <v>1560</v>
      </c>
      <c r="X43" s="4">
        <f t="shared" ref="X43:X54" si="29">O43/W43</f>
        <v>1.0756410256410256</v>
      </c>
      <c r="Y43">
        <v>30</v>
      </c>
      <c r="AA43" s="4">
        <f t="shared" si="19"/>
        <v>0.54130668263247972</v>
      </c>
      <c r="AC43">
        <f t="shared" ref="AC43:AC54" si="30">B43-2*D43</f>
        <v>141.63999999999999</v>
      </c>
      <c r="AD43">
        <f t="shared" ref="AD43:AD54" si="31">C43-2*D43</f>
        <v>141.63999999999999</v>
      </c>
      <c r="AE43">
        <f t="shared" ref="AE43:AE54" si="32">AC43*AD43</f>
        <v>20061.889599999995</v>
      </c>
      <c r="AF43">
        <f t="shared" ref="AF43:AF54" si="33">B43*C43-AE43</f>
        <v>2438.110400000005</v>
      </c>
      <c r="AG43">
        <f t="shared" ref="AG43:AG54" si="34">((C43*B43^3-AD43*AC43^3)*F43+(AD43*AC43^3)*I43*0.6)/12</f>
        <v>2504483100.0648484</v>
      </c>
      <c r="AH43">
        <f t="shared" ref="AH43:AH54" si="35">(PI()^2*AG43)/(J43*J43)</f>
        <v>32657.230052654177</v>
      </c>
      <c r="AI43">
        <f t="shared" ref="AI43:AI54" si="36">0.5*(1+0.21*(L43-0.2)+L43*L43)</f>
        <v>0.54584747460722316</v>
      </c>
      <c r="AJ43">
        <f t="shared" ref="AJ43:AJ54" si="37">IF((1/(AI43+SQRT(AI43*AI43-L43*L43)))&gt;1,1,1/(AI43+SQRT(AI43*AI43-L43*L43)))</f>
        <v>0.98317320553839993</v>
      </c>
    </row>
    <row r="44" spans="1:36">
      <c r="A44" s="23" t="s">
        <v>107</v>
      </c>
      <c r="B44">
        <v>150</v>
      </c>
      <c r="C44">
        <v>150</v>
      </c>
      <c r="D44">
        <v>4.18</v>
      </c>
      <c r="E44">
        <v>550</v>
      </c>
      <c r="F44">
        <v>200</v>
      </c>
      <c r="G44">
        <v>82.1</v>
      </c>
      <c r="H44">
        <f t="shared" si="22"/>
        <v>65.679999999999993</v>
      </c>
      <c r="I44" s="2">
        <f t="shared" si="20"/>
        <v>40.052309731270384</v>
      </c>
      <c r="J44">
        <v>870</v>
      </c>
      <c r="K44" s="2">
        <f t="shared" si="23"/>
        <v>5.8</v>
      </c>
      <c r="L44" s="3">
        <f t="shared" si="24"/>
        <v>0.28357265176046326</v>
      </c>
      <c r="M44" s="2">
        <f t="shared" si="16"/>
        <v>35.885167464114836</v>
      </c>
      <c r="N44" s="4">
        <f t="shared" si="17"/>
        <v>1.0557450339615551</v>
      </c>
      <c r="O44">
        <v>1850</v>
      </c>
      <c r="Q44" s="4">
        <f t="shared" si="21"/>
        <v>55.5</v>
      </c>
      <c r="R44" s="5">
        <f t="shared" si="25"/>
        <v>2658.6256289280018</v>
      </c>
      <c r="S44" s="4">
        <f t="shared" si="26"/>
        <v>0.69584825327436117</v>
      </c>
      <c r="T44" s="5">
        <f t="shared" si="27"/>
        <v>2608.9158938248015</v>
      </c>
      <c r="U44">
        <v>1713</v>
      </c>
      <c r="V44" s="4">
        <f t="shared" si="28"/>
        <v>1.0799766491535319</v>
      </c>
      <c r="W44" s="5">
        <v>1660</v>
      </c>
      <c r="X44" s="4">
        <f t="shared" si="29"/>
        <v>1.1144578313253013</v>
      </c>
      <c r="Y44">
        <v>30</v>
      </c>
      <c r="AA44" s="4">
        <f t="shared" si="19"/>
        <v>0.50438117552515227</v>
      </c>
      <c r="AC44">
        <f t="shared" si="30"/>
        <v>141.63999999999999</v>
      </c>
      <c r="AD44">
        <f t="shared" si="31"/>
        <v>141.63999999999999</v>
      </c>
      <c r="AE44">
        <f t="shared" si="32"/>
        <v>20061.889599999995</v>
      </c>
      <c r="AF44">
        <f t="shared" si="33"/>
        <v>2438.110400000005</v>
      </c>
      <c r="AG44">
        <f t="shared" si="34"/>
        <v>2535521269.4356294</v>
      </c>
      <c r="AH44">
        <f t="shared" si="35"/>
        <v>33061.952543106832</v>
      </c>
      <c r="AI44">
        <f t="shared" si="36"/>
        <v>0.5489818528480791</v>
      </c>
      <c r="AJ44">
        <f t="shared" si="37"/>
        <v>0.98130246900416584</v>
      </c>
    </row>
    <row r="45" spans="1:36">
      <c r="A45" s="23" t="s">
        <v>108</v>
      </c>
      <c r="B45">
        <v>150</v>
      </c>
      <c r="C45">
        <v>150</v>
      </c>
      <c r="D45">
        <v>4.18</v>
      </c>
      <c r="E45">
        <v>550</v>
      </c>
      <c r="F45">
        <v>200</v>
      </c>
      <c r="G45">
        <v>70.8</v>
      </c>
      <c r="H45">
        <f t="shared" si="22"/>
        <v>56.64</v>
      </c>
      <c r="I45" s="2">
        <f t="shared" si="20"/>
        <v>38.509961563077916</v>
      </c>
      <c r="J45">
        <v>2170</v>
      </c>
      <c r="K45" s="2">
        <f t="shared" si="23"/>
        <v>14.466666666666667</v>
      </c>
      <c r="L45" s="3">
        <f t="shared" si="24"/>
        <v>0.68696900428582375</v>
      </c>
      <c r="M45" s="2">
        <f t="shared" si="16"/>
        <v>35.885167464114836</v>
      </c>
      <c r="N45" s="4">
        <f t="shared" si="17"/>
        <v>1.0557450339615551</v>
      </c>
      <c r="O45">
        <v>1330</v>
      </c>
      <c r="Q45" s="4">
        <f t="shared" si="21"/>
        <v>39.9</v>
      </c>
      <c r="R45" s="5">
        <f t="shared" si="25"/>
        <v>2477.2661469440022</v>
      </c>
      <c r="S45" s="4">
        <f t="shared" si="26"/>
        <v>0.5368821600540219</v>
      </c>
      <c r="T45" s="5">
        <f t="shared" si="27"/>
        <v>2115.0219761215435</v>
      </c>
      <c r="U45">
        <v>1226</v>
      </c>
      <c r="V45" s="4">
        <f t="shared" si="28"/>
        <v>1.0848287112561175</v>
      </c>
      <c r="W45" s="5">
        <v>1257</v>
      </c>
      <c r="X45" s="4">
        <f t="shared" si="29"/>
        <v>1.0580747812251392</v>
      </c>
      <c r="Y45">
        <v>30</v>
      </c>
      <c r="AA45" s="4">
        <f t="shared" si="19"/>
        <v>0.54130668263247972</v>
      </c>
      <c r="AC45">
        <f t="shared" si="30"/>
        <v>141.63999999999999</v>
      </c>
      <c r="AD45">
        <f t="shared" si="31"/>
        <v>141.63999999999999</v>
      </c>
      <c r="AE45">
        <f t="shared" si="32"/>
        <v>20061.889599999995</v>
      </c>
      <c r="AF45">
        <f t="shared" si="33"/>
        <v>2438.110400000005</v>
      </c>
      <c r="AG45">
        <f t="shared" si="34"/>
        <v>2504483100.0648484</v>
      </c>
      <c r="AH45">
        <f t="shared" si="35"/>
        <v>5249.2636129146822</v>
      </c>
      <c r="AI45">
        <f t="shared" si="36"/>
        <v>0.78709495187473966</v>
      </c>
      <c r="AJ45">
        <f t="shared" si="37"/>
        <v>0.85377260684350398</v>
      </c>
    </row>
    <row r="46" spans="1:36">
      <c r="A46" s="23" t="s">
        <v>109</v>
      </c>
      <c r="B46">
        <v>150</v>
      </c>
      <c r="C46">
        <v>150</v>
      </c>
      <c r="D46">
        <v>4.18</v>
      </c>
      <c r="E46">
        <v>550</v>
      </c>
      <c r="F46">
        <v>200</v>
      </c>
      <c r="G46">
        <v>82.1</v>
      </c>
      <c r="H46">
        <f t="shared" si="22"/>
        <v>65.679999999999993</v>
      </c>
      <c r="I46" s="2">
        <f t="shared" si="20"/>
        <v>40.052309731270384</v>
      </c>
      <c r="J46">
        <v>2170</v>
      </c>
      <c r="K46" s="2">
        <f t="shared" si="23"/>
        <v>14.466666666666667</v>
      </c>
      <c r="L46" s="3">
        <f t="shared" si="24"/>
        <v>0.70730190151747729</v>
      </c>
      <c r="M46" s="2">
        <f t="shared" si="16"/>
        <v>35.885167464114836</v>
      </c>
      <c r="N46" s="4">
        <f t="shared" si="17"/>
        <v>1.0557450339615551</v>
      </c>
      <c r="O46">
        <v>1020</v>
      </c>
      <c r="Q46" s="4">
        <f t="shared" si="21"/>
        <v>61.2</v>
      </c>
      <c r="R46" s="5">
        <f t="shared" si="25"/>
        <v>2658.6256289280018</v>
      </c>
      <c r="S46" s="4">
        <f t="shared" si="26"/>
        <v>0.38365687477829646</v>
      </c>
      <c r="T46" s="5">
        <f t="shared" si="27"/>
        <v>2244.6386011497007</v>
      </c>
      <c r="U46">
        <v>858</v>
      </c>
      <c r="V46" s="4">
        <f t="shared" si="28"/>
        <v>1.1888111888111887</v>
      </c>
      <c r="W46" s="5">
        <v>876</v>
      </c>
      <c r="X46" s="4">
        <f t="shared" si="29"/>
        <v>1.1643835616438356</v>
      </c>
      <c r="Y46">
        <v>60</v>
      </c>
      <c r="AA46" s="4">
        <f t="shared" si="19"/>
        <v>0.50438117552515227</v>
      </c>
      <c r="AC46">
        <f t="shared" si="30"/>
        <v>141.63999999999999</v>
      </c>
      <c r="AD46">
        <f t="shared" si="31"/>
        <v>141.63999999999999</v>
      </c>
      <c r="AE46">
        <f t="shared" si="32"/>
        <v>20061.889599999995</v>
      </c>
      <c r="AF46">
        <f t="shared" si="33"/>
        <v>2438.110400000005</v>
      </c>
      <c r="AG46">
        <f t="shared" si="34"/>
        <v>2535521269.4356294</v>
      </c>
      <c r="AH46">
        <f t="shared" si="35"/>
        <v>5314.3179680769526</v>
      </c>
      <c r="AI46">
        <f t="shared" si="36"/>
        <v>0.80340468960445477</v>
      </c>
      <c r="AJ46">
        <f t="shared" si="37"/>
        <v>0.84428532423904046</v>
      </c>
    </row>
    <row r="47" spans="1:36">
      <c r="A47" s="23" t="s">
        <v>110</v>
      </c>
      <c r="B47">
        <v>120</v>
      </c>
      <c r="C47">
        <v>180</v>
      </c>
      <c r="D47">
        <v>4.18</v>
      </c>
      <c r="E47">
        <v>550</v>
      </c>
      <c r="F47">
        <v>200</v>
      </c>
      <c r="G47">
        <v>70.8</v>
      </c>
      <c r="H47">
        <f t="shared" si="22"/>
        <v>56.64</v>
      </c>
      <c r="I47" s="2">
        <f t="shared" si="20"/>
        <v>38.509961563077916</v>
      </c>
      <c r="J47">
        <v>1040</v>
      </c>
      <c r="K47" s="2">
        <f t="shared" si="23"/>
        <v>8.6666666666666661</v>
      </c>
      <c r="L47" s="3">
        <f t="shared" si="24"/>
        <v>0.39980600066417643</v>
      </c>
      <c r="M47" s="2">
        <f t="shared" si="16"/>
        <v>43.062200956937801</v>
      </c>
      <c r="N47" s="4">
        <f t="shared" si="17"/>
        <v>1.266894040753866</v>
      </c>
      <c r="O47">
        <v>1950</v>
      </c>
      <c r="Q47" s="4">
        <f t="shared" si="21"/>
        <v>58.5</v>
      </c>
      <c r="R47" s="5">
        <f t="shared" si="25"/>
        <v>2426.2901469440003</v>
      </c>
      <c r="S47" s="4">
        <f t="shared" si="26"/>
        <v>0.80369612944111202</v>
      </c>
      <c r="T47" s="5">
        <f t="shared" si="27"/>
        <v>2311.857545431968</v>
      </c>
      <c r="U47">
        <v>1664</v>
      </c>
      <c r="V47" s="4">
        <f t="shared" si="28"/>
        <v>1.171875</v>
      </c>
      <c r="W47" s="5">
        <v>1576</v>
      </c>
      <c r="X47" s="4">
        <f t="shared" si="29"/>
        <v>1.2373096446700507</v>
      </c>
      <c r="Y47">
        <v>30</v>
      </c>
      <c r="AA47" s="4">
        <f t="shared" si="19"/>
        <v>0.55267945661362428</v>
      </c>
      <c r="AC47">
        <f t="shared" si="30"/>
        <v>111.64</v>
      </c>
      <c r="AD47">
        <f t="shared" si="31"/>
        <v>171.64</v>
      </c>
      <c r="AE47">
        <f t="shared" si="32"/>
        <v>19161.889599999999</v>
      </c>
      <c r="AF47">
        <f t="shared" si="33"/>
        <v>2438.1104000000014</v>
      </c>
      <c r="AG47">
        <f t="shared" si="34"/>
        <v>1663454979.8680239</v>
      </c>
      <c r="AH47">
        <f t="shared" si="35"/>
        <v>15179.033459984706</v>
      </c>
      <c r="AI47">
        <f t="shared" si="36"/>
        <v>0.60090204915328027</v>
      </c>
      <c r="AJ47">
        <f t="shared" si="37"/>
        <v>0.95283639029892431</v>
      </c>
    </row>
    <row r="48" spans="1:36">
      <c r="A48" s="23" t="s">
        <v>111</v>
      </c>
      <c r="B48">
        <v>120</v>
      </c>
      <c r="C48">
        <v>180</v>
      </c>
      <c r="D48">
        <v>4.18</v>
      </c>
      <c r="E48">
        <v>550</v>
      </c>
      <c r="F48">
        <v>200</v>
      </c>
      <c r="G48">
        <v>82.1</v>
      </c>
      <c r="H48">
        <f t="shared" si="22"/>
        <v>65.679999999999993</v>
      </c>
      <c r="I48" s="2">
        <f t="shared" si="20"/>
        <v>40.052309731270384</v>
      </c>
      <c r="J48">
        <v>1040</v>
      </c>
      <c r="K48" s="2">
        <f t="shared" si="23"/>
        <v>8.6666666666666661</v>
      </c>
      <c r="L48" s="3">
        <f t="shared" si="24"/>
        <v>0.41155983575159855</v>
      </c>
      <c r="M48" s="2">
        <f t="shared" si="16"/>
        <v>43.062200956937801</v>
      </c>
      <c r="N48" s="4">
        <f t="shared" si="17"/>
        <v>1.266894040753866</v>
      </c>
      <c r="O48">
        <v>1140</v>
      </c>
      <c r="Q48" s="4">
        <f t="shared" si="21"/>
        <v>79.8</v>
      </c>
      <c r="R48" s="5">
        <f t="shared" si="25"/>
        <v>2599.5136289279999</v>
      </c>
      <c r="S48" s="4">
        <f t="shared" si="26"/>
        <v>0.43854357496487478</v>
      </c>
      <c r="T48" s="5">
        <f t="shared" si="27"/>
        <v>2468.8041404408796</v>
      </c>
      <c r="U48">
        <v>1136</v>
      </c>
      <c r="V48" s="4">
        <f t="shared" si="28"/>
        <v>1.0035211267605635</v>
      </c>
      <c r="W48" s="5">
        <v>1070</v>
      </c>
      <c r="X48" s="4">
        <f t="shared" si="29"/>
        <v>1.0654205607476634</v>
      </c>
      <c r="Y48">
        <v>70</v>
      </c>
      <c r="AA48" s="4">
        <f t="shared" si="19"/>
        <v>0.51585062108444979</v>
      </c>
      <c r="AC48">
        <f t="shared" si="30"/>
        <v>111.64</v>
      </c>
      <c r="AD48">
        <f t="shared" si="31"/>
        <v>171.64</v>
      </c>
      <c r="AE48">
        <f t="shared" si="32"/>
        <v>19161.889599999999</v>
      </c>
      <c r="AF48">
        <f t="shared" si="33"/>
        <v>2438.1104000000014</v>
      </c>
      <c r="AG48">
        <f t="shared" si="34"/>
        <v>1681872468.7198608</v>
      </c>
      <c r="AH48">
        <f t="shared" si="35"/>
        <v>15347.093120699485</v>
      </c>
      <c r="AI48">
        <f t="shared" si="36"/>
        <v>0.60690453195585925</v>
      </c>
      <c r="AJ48">
        <f t="shared" si="37"/>
        <v>0.94971771371669134</v>
      </c>
    </row>
    <row r="49" spans="1:36">
      <c r="A49" s="23" t="s">
        <v>112</v>
      </c>
      <c r="B49">
        <v>80</v>
      </c>
      <c r="C49">
        <v>120</v>
      </c>
      <c r="D49">
        <v>4.18</v>
      </c>
      <c r="E49">
        <v>550</v>
      </c>
      <c r="F49">
        <v>200</v>
      </c>
      <c r="G49">
        <v>70.8</v>
      </c>
      <c r="H49">
        <f t="shared" si="22"/>
        <v>56.64</v>
      </c>
      <c r="I49" s="2">
        <f t="shared" si="20"/>
        <v>38.509961563077916</v>
      </c>
      <c r="J49">
        <v>1740</v>
      </c>
      <c r="K49" s="2">
        <f t="shared" si="23"/>
        <v>21.75</v>
      </c>
      <c r="L49" s="3">
        <f t="shared" si="24"/>
        <v>0.98842125780495604</v>
      </c>
      <c r="M49" s="2">
        <f t="shared" si="16"/>
        <v>28.708133971291868</v>
      </c>
      <c r="N49" s="4">
        <f t="shared" si="17"/>
        <v>0.84459602716924409</v>
      </c>
      <c r="O49">
        <v>660</v>
      </c>
      <c r="Q49" s="4">
        <f t="shared" si="21"/>
        <v>13.2</v>
      </c>
      <c r="R49" s="5">
        <f t="shared" si="25"/>
        <v>1334.1611869439998</v>
      </c>
      <c r="S49" s="4">
        <f t="shared" si="26"/>
        <v>0.49469285005343427</v>
      </c>
      <c r="T49" s="5">
        <f t="shared" si="27"/>
        <v>898.80729771652523</v>
      </c>
      <c r="U49">
        <v>705</v>
      </c>
      <c r="V49" s="4">
        <f t="shared" si="28"/>
        <v>0.93617021276595747</v>
      </c>
      <c r="W49" s="5">
        <v>603</v>
      </c>
      <c r="X49" s="4">
        <f t="shared" si="29"/>
        <v>1.0945273631840795</v>
      </c>
      <c r="Y49">
        <v>20</v>
      </c>
      <c r="AA49" s="4">
        <f t="shared" si="19"/>
        <v>0.66046046656353952</v>
      </c>
      <c r="AC49">
        <f t="shared" si="30"/>
        <v>71.64</v>
      </c>
      <c r="AD49">
        <f t="shared" si="31"/>
        <v>111.64</v>
      </c>
      <c r="AE49">
        <f t="shared" si="32"/>
        <v>7997.8896000000004</v>
      </c>
      <c r="AF49">
        <f t="shared" si="33"/>
        <v>1602.1103999999996</v>
      </c>
      <c r="AG49">
        <f t="shared" si="34"/>
        <v>418912094.39957589</v>
      </c>
      <c r="AH49">
        <f t="shared" si="35"/>
        <v>1365.6020116777695</v>
      </c>
      <c r="AI49">
        <f t="shared" si="36"/>
        <v>1.0712725235098861</v>
      </c>
      <c r="AJ49">
        <f t="shared" si="37"/>
        <v>0.67368718750941436</v>
      </c>
    </row>
    <row r="50" spans="1:36">
      <c r="A50" s="23" t="s">
        <v>113</v>
      </c>
      <c r="B50">
        <v>80</v>
      </c>
      <c r="C50">
        <v>120</v>
      </c>
      <c r="D50">
        <v>4.18</v>
      </c>
      <c r="E50">
        <v>550</v>
      </c>
      <c r="F50">
        <v>200</v>
      </c>
      <c r="G50">
        <v>82.1</v>
      </c>
      <c r="H50">
        <f t="shared" si="22"/>
        <v>65.679999999999993</v>
      </c>
      <c r="I50" s="2">
        <f t="shared" si="20"/>
        <v>40.052309731270384</v>
      </c>
      <c r="J50">
        <v>1740</v>
      </c>
      <c r="K50" s="2">
        <f t="shared" si="23"/>
        <v>21.75</v>
      </c>
      <c r="L50" s="3">
        <f t="shared" si="24"/>
        <v>1.0110374833662223</v>
      </c>
      <c r="M50" s="2">
        <f t="shared" si="16"/>
        <v>28.708133971291868</v>
      </c>
      <c r="N50" s="4">
        <f t="shared" si="17"/>
        <v>0.84459602716924409</v>
      </c>
      <c r="O50">
        <v>855</v>
      </c>
      <c r="Q50" s="4">
        <f t="shared" si="21"/>
        <v>17.100000000000001</v>
      </c>
      <c r="R50" s="5">
        <f t="shared" si="25"/>
        <v>1406.4621089279997</v>
      </c>
      <c r="S50" s="4">
        <f t="shared" si="26"/>
        <v>0.60790830735687429</v>
      </c>
      <c r="T50" s="5">
        <f t="shared" si="27"/>
        <v>925.28570547997515</v>
      </c>
      <c r="U50">
        <v>730</v>
      </c>
      <c r="V50" s="4">
        <f t="shared" si="28"/>
        <v>1.1712328767123288</v>
      </c>
      <c r="W50" s="5">
        <v>598</v>
      </c>
      <c r="X50" s="4">
        <f t="shared" si="29"/>
        <v>1.4297658862876255</v>
      </c>
      <c r="Y50">
        <v>20</v>
      </c>
      <c r="AA50" s="4">
        <f t="shared" si="19"/>
        <v>0.62650868047317487</v>
      </c>
      <c r="AC50">
        <f t="shared" si="30"/>
        <v>71.64</v>
      </c>
      <c r="AD50">
        <f t="shared" si="31"/>
        <v>111.64</v>
      </c>
      <c r="AE50">
        <f t="shared" si="32"/>
        <v>7997.8896000000004</v>
      </c>
      <c r="AF50">
        <f t="shared" si="33"/>
        <v>1602.1103999999996</v>
      </c>
      <c r="AG50">
        <f t="shared" si="34"/>
        <v>422077570.11201525</v>
      </c>
      <c r="AH50">
        <f t="shared" si="35"/>
        <v>1375.921073978943</v>
      </c>
      <c r="AI50">
        <f t="shared" si="36"/>
        <v>1.0962573321392055</v>
      </c>
      <c r="AJ50">
        <f t="shared" si="37"/>
        <v>0.65788171583607369</v>
      </c>
    </row>
    <row r="51" spans="1:36">
      <c r="A51" s="23" t="s">
        <v>114</v>
      </c>
      <c r="B51">
        <v>100</v>
      </c>
      <c r="C51">
        <v>200</v>
      </c>
      <c r="D51">
        <v>4.18</v>
      </c>
      <c r="E51">
        <v>550</v>
      </c>
      <c r="F51">
        <v>200</v>
      </c>
      <c r="G51">
        <v>70.8</v>
      </c>
      <c r="H51">
        <f t="shared" si="22"/>
        <v>56.64</v>
      </c>
      <c r="I51" s="2">
        <f t="shared" si="20"/>
        <v>38.509961563077916</v>
      </c>
      <c r="J51">
        <v>1150</v>
      </c>
      <c r="K51" s="2">
        <f t="shared" si="23"/>
        <v>11.5</v>
      </c>
      <c r="L51" s="3">
        <f t="shared" si="24"/>
        <v>0.51959158312735121</v>
      </c>
      <c r="M51" s="2">
        <f t="shared" si="16"/>
        <v>47.846889952153113</v>
      </c>
      <c r="N51" s="4">
        <f t="shared" si="17"/>
        <v>1.4076600452820733</v>
      </c>
      <c r="O51">
        <v>1310</v>
      </c>
      <c r="Q51" s="4">
        <f t="shared" si="21"/>
        <v>78.599999999999994</v>
      </c>
      <c r="R51" s="5">
        <f t="shared" si="25"/>
        <v>2335.6661469440005</v>
      </c>
      <c r="S51" s="4">
        <f t="shared" si="26"/>
        <v>0.56086782852678319</v>
      </c>
      <c r="T51" s="5">
        <f t="shared" si="27"/>
        <v>2144.3260275093739</v>
      </c>
      <c r="U51">
        <v>1212</v>
      </c>
      <c r="V51" s="4">
        <f t="shared" si="28"/>
        <v>1.0808580858085808</v>
      </c>
      <c r="W51" s="5">
        <v>1109</v>
      </c>
      <c r="X51" s="4">
        <f t="shared" si="29"/>
        <v>1.1812443642921551</v>
      </c>
      <c r="Y51">
        <v>60</v>
      </c>
      <c r="AA51" s="4">
        <f t="shared" si="19"/>
        <v>0.57412345585199398</v>
      </c>
      <c r="AC51">
        <f t="shared" si="30"/>
        <v>91.64</v>
      </c>
      <c r="AD51">
        <f t="shared" si="31"/>
        <v>191.64</v>
      </c>
      <c r="AE51">
        <f t="shared" si="32"/>
        <v>17561.889599999999</v>
      </c>
      <c r="AF51">
        <f t="shared" si="33"/>
        <v>2438.1104000000014</v>
      </c>
      <c r="AG51">
        <f t="shared" si="34"/>
        <v>1159264366.8002095</v>
      </c>
      <c r="AH51">
        <f t="shared" si="35"/>
        <v>8651.4031732305612</v>
      </c>
      <c r="AI51">
        <f t="shared" si="36"/>
        <v>0.66854482285676542</v>
      </c>
      <c r="AJ51">
        <f t="shared" si="37"/>
        <v>0.91807899442950047</v>
      </c>
    </row>
    <row r="52" spans="1:36">
      <c r="A52" s="23" t="s">
        <v>115</v>
      </c>
      <c r="B52">
        <v>100</v>
      </c>
      <c r="C52">
        <v>200</v>
      </c>
      <c r="D52">
        <v>4.18</v>
      </c>
      <c r="E52">
        <v>550</v>
      </c>
      <c r="F52">
        <v>200</v>
      </c>
      <c r="G52">
        <v>82.1</v>
      </c>
      <c r="H52">
        <f t="shared" si="22"/>
        <v>65.679999999999993</v>
      </c>
      <c r="I52" s="2">
        <f t="shared" si="20"/>
        <v>40.052309731270384</v>
      </c>
      <c r="J52">
        <v>1150</v>
      </c>
      <c r="K52" s="2">
        <f t="shared" si="23"/>
        <v>11.5</v>
      </c>
      <c r="L52" s="3">
        <f t="shared" si="24"/>
        <v>0.53434526464672538</v>
      </c>
      <c r="M52" s="2">
        <f t="shared" si="16"/>
        <v>47.846889952153113</v>
      </c>
      <c r="N52" s="4">
        <f t="shared" si="17"/>
        <v>1.4076600452820733</v>
      </c>
      <c r="O52">
        <v>1800</v>
      </c>
      <c r="Q52" s="4">
        <f t="shared" si="21"/>
        <v>72</v>
      </c>
      <c r="R52" s="5">
        <f t="shared" si="25"/>
        <v>2494.4256289280002</v>
      </c>
      <c r="S52" s="4">
        <f t="shared" si="26"/>
        <v>0.72160900654855953</v>
      </c>
      <c r="T52" s="5">
        <f t="shared" si="27"/>
        <v>2278.0577758427198</v>
      </c>
      <c r="U52">
        <v>1575</v>
      </c>
      <c r="V52" s="4">
        <f t="shared" si="28"/>
        <v>1.1428571428571428</v>
      </c>
      <c r="W52" s="5">
        <v>1432</v>
      </c>
      <c r="X52" s="4">
        <f t="shared" si="29"/>
        <v>1.2569832402234637</v>
      </c>
      <c r="Y52">
        <v>40</v>
      </c>
      <c r="AA52" s="4">
        <f t="shared" si="19"/>
        <v>0.53758296276657869</v>
      </c>
      <c r="AC52">
        <f t="shared" si="30"/>
        <v>91.64</v>
      </c>
      <c r="AD52">
        <f t="shared" si="31"/>
        <v>191.64</v>
      </c>
      <c r="AE52">
        <f t="shared" si="32"/>
        <v>17561.889599999999</v>
      </c>
      <c r="AF52">
        <f t="shared" si="33"/>
        <v>2438.1104000000014</v>
      </c>
      <c r="AG52">
        <f t="shared" si="34"/>
        <v>1170637858.8945522</v>
      </c>
      <c r="AH52">
        <f t="shared" si="35"/>
        <v>8736.2817120812815</v>
      </c>
      <c r="AI52">
        <f t="shared" si="36"/>
        <v>0.67786868371309561</v>
      </c>
      <c r="AJ52">
        <f t="shared" si="37"/>
        <v>0.91325944915893675</v>
      </c>
    </row>
    <row r="53" spans="1:36">
      <c r="A53" s="23" t="s">
        <v>116</v>
      </c>
      <c r="B53">
        <v>80</v>
      </c>
      <c r="C53">
        <v>160</v>
      </c>
      <c r="D53">
        <v>4.18</v>
      </c>
      <c r="E53">
        <v>550</v>
      </c>
      <c r="F53">
        <v>200</v>
      </c>
      <c r="G53">
        <v>70.8</v>
      </c>
      <c r="H53">
        <f t="shared" si="22"/>
        <v>56.64</v>
      </c>
      <c r="I53" s="2">
        <f t="shared" si="20"/>
        <v>38.509961563077916</v>
      </c>
      <c r="J53">
        <v>2310</v>
      </c>
      <c r="K53" s="2">
        <f t="shared" si="23"/>
        <v>28.875</v>
      </c>
      <c r="L53" s="3">
        <f t="shared" si="24"/>
        <v>1.2929713296250553</v>
      </c>
      <c r="M53" s="2">
        <f t="shared" si="16"/>
        <v>38.277511961722489</v>
      </c>
      <c r="N53" s="4">
        <f t="shared" si="17"/>
        <v>1.1261280362256587</v>
      </c>
      <c r="O53">
        <v>670</v>
      </c>
      <c r="Q53" s="4">
        <f t="shared" si="21"/>
        <v>40.200000000000003</v>
      </c>
      <c r="R53" s="5">
        <f t="shared" si="25"/>
        <v>1680.3887709440007</v>
      </c>
      <c r="S53" s="4">
        <f t="shared" si="26"/>
        <v>0.39871725614044101</v>
      </c>
      <c r="T53" s="5">
        <f t="shared" si="27"/>
        <v>797.00488425427079</v>
      </c>
      <c r="U53">
        <v>564</v>
      </c>
      <c r="V53" s="4">
        <f t="shared" si="28"/>
        <v>1.1879432624113475</v>
      </c>
      <c r="W53" s="5">
        <v>393</v>
      </c>
      <c r="X53" s="4">
        <f t="shared" si="29"/>
        <v>1.7048346055979644</v>
      </c>
      <c r="Y53">
        <v>60</v>
      </c>
      <c r="AA53" s="4">
        <f t="shared" si="19"/>
        <v>0.63382994365147105</v>
      </c>
      <c r="AC53">
        <f t="shared" si="30"/>
        <v>71.64</v>
      </c>
      <c r="AD53">
        <f t="shared" si="31"/>
        <v>151.63999999999999</v>
      </c>
      <c r="AE53">
        <f t="shared" si="32"/>
        <v>10863.489599999999</v>
      </c>
      <c r="AF53">
        <f t="shared" si="33"/>
        <v>1936.510400000001</v>
      </c>
      <c r="AG53">
        <f t="shared" si="34"/>
        <v>543445748.1913743</v>
      </c>
      <c r="AH53">
        <f t="shared" si="35"/>
        <v>1005.1525548814466</v>
      </c>
      <c r="AI53">
        <f t="shared" si="36"/>
        <v>1.4506494192268224</v>
      </c>
      <c r="AJ53">
        <f t="shared" si="37"/>
        <v>0.47429791131401883</v>
      </c>
    </row>
    <row r="54" spans="1:36">
      <c r="A54" s="23" t="s">
        <v>117</v>
      </c>
      <c r="B54">
        <v>80</v>
      </c>
      <c r="C54">
        <v>160</v>
      </c>
      <c r="D54">
        <v>4.18</v>
      </c>
      <c r="E54">
        <v>550</v>
      </c>
      <c r="F54">
        <v>200</v>
      </c>
      <c r="G54">
        <v>82.1</v>
      </c>
      <c r="H54">
        <f t="shared" si="22"/>
        <v>65.679999999999993</v>
      </c>
      <c r="I54" s="2">
        <f t="shared" si="20"/>
        <v>40.052309731270384</v>
      </c>
      <c r="J54">
        <v>2310</v>
      </c>
      <c r="K54" s="2">
        <f t="shared" si="23"/>
        <v>28.875</v>
      </c>
      <c r="L54" s="3">
        <f t="shared" si="24"/>
        <v>1.324985843141453</v>
      </c>
      <c r="M54" s="2">
        <f t="shared" si="16"/>
        <v>38.277511961722489</v>
      </c>
      <c r="N54" s="4">
        <f t="shared" si="17"/>
        <v>1.1261280362256587</v>
      </c>
      <c r="O54">
        <v>1020</v>
      </c>
      <c r="Q54" s="4">
        <f t="shared" si="21"/>
        <v>30.6</v>
      </c>
      <c r="R54" s="5">
        <f t="shared" si="25"/>
        <v>1778.5947169280005</v>
      </c>
      <c r="S54" s="4">
        <f t="shared" si="26"/>
        <v>0.57348646675491655</v>
      </c>
      <c r="T54" s="5">
        <f t="shared" si="27"/>
        <v>812.02885015820186</v>
      </c>
      <c r="U54">
        <v>850</v>
      </c>
      <c r="V54" s="4">
        <f t="shared" si="28"/>
        <v>1.2</v>
      </c>
      <c r="W54" s="5">
        <v>523</v>
      </c>
      <c r="X54" s="4">
        <f t="shared" si="29"/>
        <v>1.9502868068833652</v>
      </c>
      <c r="Y54">
        <v>30</v>
      </c>
      <c r="AA54" s="4">
        <f t="shared" si="19"/>
        <v>0.59883272443292446</v>
      </c>
      <c r="AC54">
        <f t="shared" si="30"/>
        <v>71.64</v>
      </c>
      <c r="AD54">
        <f t="shared" si="31"/>
        <v>151.63999999999999</v>
      </c>
      <c r="AE54">
        <f t="shared" si="32"/>
        <v>10863.489599999999</v>
      </c>
      <c r="AF54">
        <f t="shared" si="33"/>
        <v>1936.510400000001</v>
      </c>
      <c r="AG54">
        <f t="shared" si="34"/>
        <v>547745396.49874008</v>
      </c>
      <c r="AH54">
        <f t="shared" si="35"/>
        <v>1013.1051471974664</v>
      </c>
      <c r="AI54">
        <f t="shared" si="36"/>
        <v>1.4959172557924862</v>
      </c>
      <c r="AJ54">
        <f t="shared" si="37"/>
        <v>0.45655642762773019</v>
      </c>
    </row>
    <row r="55" spans="1:36">
      <c r="I55" t="s">
        <v>118</v>
      </c>
      <c r="J55" t="s">
        <v>119</v>
      </c>
      <c r="O55" t="s">
        <v>120</v>
      </c>
      <c r="V55" s="4"/>
    </row>
    <row r="56" spans="1:36">
      <c r="G56" t="s">
        <v>121</v>
      </c>
      <c r="H56">
        <f>COUNTIF(H8:H54,"&gt;=60")</f>
        <v>32</v>
      </c>
      <c r="I56" s="4">
        <f>(SUMIF(H8:H54,"&gt;60",V8:V54))/H56</f>
        <v>1.118236168222585</v>
      </c>
      <c r="J56" s="4">
        <f>SUMIF(H8:H54,"&gt;=60",X8:X54)/H56</f>
        <v>1.2283434369499433</v>
      </c>
      <c r="M56" t="s">
        <v>122</v>
      </c>
      <c r="N56" s="5">
        <f>COUNTIF(N8:N54, "&gt;1")</f>
        <v>30</v>
      </c>
      <c r="O56" s="4">
        <f t="array" ref="O56">AVERAGE(IF(N8:N54 &gt;1,X8:X54))</f>
        <v>1.2468684382624007</v>
      </c>
      <c r="U56" s="23" t="s">
        <v>123</v>
      </c>
      <c r="V56" s="5">
        <f>COUNT(V8:V54)</f>
        <v>43</v>
      </c>
      <c r="X56" s="5">
        <f>COUNT(X8:X54)</f>
        <v>43</v>
      </c>
      <c r="AA56" s="5">
        <f>COUNTIF(AA8:AA54,"&lt;0.2")</f>
        <v>0</v>
      </c>
      <c r="AB56" t="s">
        <v>124</v>
      </c>
    </row>
    <row r="57" spans="1:36">
      <c r="G57" t="s">
        <v>125</v>
      </c>
      <c r="H57">
        <f>COUNTIF(H8:H54,"&lt;=60")-COUNTIF(H8:H54,"&lt;0.5")</f>
        <v>11</v>
      </c>
      <c r="I57" s="4">
        <f>(SUMIF(H8:H54,"&lt;60",V8:V54)-SUMIF(H8:H54,"&lt;0.5",V8:V54))/H57</f>
        <v>1.1183289144111095</v>
      </c>
      <c r="J57" s="4">
        <f>(SUMIF(H8:H54,"&lt;60",X8:X54)-SUMIF(H8:H54,"&lt;0.5"))/H57</f>
        <v>1.207259166294808</v>
      </c>
      <c r="M57" t="s">
        <v>126</v>
      </c>
      <c r="N57" s="5">
        <f>COUNTIF(N8:N54,"&lt;=1")</f>
        <v>13</v>
      </c>
      <c r="O57" s="4">
        <f t="array" ref="O57">AVERAGE(IF(N8:N34 &lt;=1,IF(N8:N34 &gt;0.01,X8:X34)))</f>
        <v>1.1449045575012959</v>
      </c>
      <c r="U57" s="23" t="s">
        <v>127</v>
      </c>
      <c r="V57" s="5">
        <f>COUNTIF(V8:V54,"&lt;1")</f>
        <v>2</v>
      </c>
      <c r="X57" s="5">
        <f>COUNTIF(X8:X54,"&lt;1")</f>
        <v>0</v>
      </c>
      <c r="AA57" s="5">
        <f>COUNTIF(AA8:AA54,"&gt;0.9")</f>
        <v>0</v>
      </c>
      <c r="AB57" t="s">
        <v>128</v>
      </c>
    </row>
    <row r="58" spans="1:36">
      <c r="A58" s="21" t="s">
        <v>93</v>
      </c>
      <c r="B58" s="21">
        <v>2007</v>
      </c>
      <c r="C58" s="17" t="s">
        <v>129</v>
      </c>
      <c r="U58" s="23" t="s">
        <v>130</v>
      </c>
      <c r="V58" s="15">
        <f>V57/V56</f>
        <v>4.6511627906976744E-2</v>
      </c>
      <c r="X58" s="15">
        <f>X57/X56</f>
        <v>0</v>
      </c>
    </row>
    <row r="59" spans="1:36">
      <c r="A59" s="23" t="s">
        <v>97</v>
      </c>
      <c r="B59">
        <v>100.5</v>
      </c>
      <c r="C59">
        <v>200.7</v>
      </c>
      <c r="D59">
        <v>3.62</v>
      </c>
      <c r="E59">
        <v>289</v>
      </c>
      <c r="F59">
        <v>200</v>
      </c>
      <c r="G59">
        <v>55</v>
      </c>
      <c r="H59">
        <v>44</v>
      </c>
      <c r="I59" s="2">
        <f>22*((H59+8)/10)^0.3</f>
        <v>36.076440733482187</v>
      </c>
      <c r="J59">
        <v>1800</v>
      </c>
      <c r="K59" s="2">
        <f>J59/B59</f>
        <v>17.910447761194028</v>
      </c>
      <c r="L59" s="3">
        <f>SQRT(R59/AH59)</f>
        <v>0.65958090802342229</v>
      </c>
      <c r="M59" s="2">
        <f>C59/D59</f>
        <v>55.44198895027624</v>
      </c>
      <c r="N59" s="4">
        <f>M59/(52*SQRT(235/E59))</f>
        <v>1.1823619594406285</v>
      </c>
      <c r="O59">
        <v>983</v>
      </c>
      <c r="Q59" s="4">
        <f>MAX(Y59,Z59)*O59/1000</f>
        <v>39.32</v>
      </c>
      <c r="R59" s="5">
        <f>(E59*AF59+H59*AE59)/1000</f>
        <v>1408.9216480000002</v>
      </c>
      <c r="S59" s="4">
        <f>O59/R59</f>
        <v>0.69769671109489539</v>
      </c>
      <c r="T59" s="5">
        <f>AJ59*R59</f>
        <v>1408.9216480000002</v>
      </c>
      <c r="U59">
        <v>907</v>
      </c>
      <c r="V59" s="4">
        <f>O59/U59</f>
        <v>1.0837927232635061</v>
      </c>
      <c r="W59">
        <v>702</v>
      </c>
      <c r="X59" s="4">
        <f>O59/W59</f>
        <v>1.4002849002849003</v>
      </c>
      <c r="Y59">
        <v>40</v>
      </c>
      <c r="AA59" s="4">
        <f>E59*AF59/(1000*R59)</f>
        <v>0.43655383283599053</v>
      </c>
      <c r="AC59">
        <f>B59-2*D59</f>
        <v>93.26</v>
      </c>
      <c r="AD59">
        <f>C59-2*D59</f>
        <v>193.45999999999998</v>
      </c>
      <c r="AE59">
        <f>AC59*AD59</f>
        <v>18042.079599999997</v>
      </c>
      <c r="AF59">
        <f>B59*C59-AE59</f>
        <v>2128.2704000000012</v>
      </c>
      <c r="AG59">
        <f>((C59*B59^3-AD59*AC59^3)*F59+(AD59*AC59^3)*I59*0.6)/12</f>
        <v>1063153453.9276594</v>
      </c>
      <c r="AH59">
        <f>(PI()^2*AG59)/(J59*J59)</f>
        <v>3238.55061972771</v>
      </c>
      <c r="AI59">
        <f>0.5*(1+0.21*(L58-0.2)+L58*L58)</f>
        <v>0.47899999999999998</v>
      </c>
      <c r="AJ59">
        <f>IF((1/(AI59+SQRT(AI59*AI59-L58*L58)))&gt;1,1,1/(AI59+SQRT(AI59*AI59-L58*L58)))</f>
        <v>1</v>
      </c>
    </row>
    <row r="60" spans="1:36">
      <c r="A60" s="23" t="s">
        <v>98</v>
      </c>
      <c r="B60">
        <v>200.4</v>
      </c>
      <c r="C60">
        <v>99.4</v>
      </c>
      <c r="D60">
        <v>3.64</v>
      </c>
      <c r="E60">
        <v>289</v>
      </c>
      <c r="F60">
        <v>200</v>
      </c>
      <c r="G60">
        <v>55</v>
      </c>
      <c r="H60">
        <v>44</v>
      </c>
      <c r="I60" s="2">
        <f>22*((H60+8)/10)^0.3</f>
        <v>36.076440733482187</v>
      </c>
      <c r="J60">
        <v>1800</v>
      </c>
      <c r="K60" s="2">
        <f>J60/C60</f>
        <v>18.108651911468812</v>
      </c>
      <c r="L60" s="3">
        <f>SQRT(R60/AH60)</f>
        <v>0.36361481689342562</v>
      </c>
      <c r="M60" s="2">
        <f>C60/D60</f>
        <v>27.307692307692307</v>
      </c>
      <c r="N60" s="4">
        <f>M60/(52*SQRT(235/E60))</f>
        <v>0.58236685220081708</v>
      </c>
      <c r="O60">
        <v>655</v>
      </c>
      <c r="Q60" s="4">
        <f>MAX(Y60,Z60)*O60/1000</f>
        <v>19.649999999999999</v>
      </c>
      <c r="R60" s="5">
        <f>(E60*AF60+H60*AE60)/1000</f>
        <v>1398.2081120000003</v>
      </c>
      <c r="S60" s="4">
        <f>O60/R60</f>
        <v>0.46845672999499799</v>
      </c>
      <c r="T60" s="5">
        <f>AJ60*R60</f>
        <v>1210.7332640096888</v>
      </c>
      <c r="U60">
        <v>604</v>
      </c>
      <c r="V60" s="4">
        <f>O60/U60</f>
        <v>1.0844370860927153</v>
      </c>
      <c r="W60">
        <v>560</v>
      </c>
      <c r="X60" s="4">
        <f>O60/W60</f>
        <v>1.1696428571428572</v>
      </c>
      <c r="Z60">
        <v>30</v>
      </c>
      <c r="AA60" s="4">
        <f>E60*AF60/(1000*R60)</f>
        <v>0.44016242869573641</v>
      </c>
      <c r="AC60">
        <f>B60-2*D60</f>
        <v>193.12</v>
      </c>
      <c r="AD60">
        <f>C60-2*D60</f>
        <v>92.12</v>
      </c>
      <c r="AE60">
        <f>AC60*AD60</f>
        <v>17790.214400000001</v>
      </c>
      <c r="AF60">
        <f>B60*C60-AE60</f>
        <v>2129.5456000000013</v>
      </c>
      <c r="AG60">
        <f>((C60*B60^3-AD60*AC60^3)*F60+(AD60*AC60^3)*I60*0.6)/12</f>
        <v>3471634043.0088983</v>
      </c>
      <c r="AH60">
        <f>(PI()^2*AG60)/(J60*J60)</f>
        <v>10575.202046250699</v>
      </c>
      <c r="AI60">
        <f>0.5*(1+0.21*(L59-0.2)+L59*L59)</f>
        <v>0.76577948245696037</v>
      </c>
      <c r="AJ60">
        <f>IF((1/(AI60+SQRT(AI60*AI60-L59*L59)))&gt;1,1,1/(AI60+SQRT(AI60*AI60-L59*L59)))</f>
        <v>0.86591777977732731</v>
      </c>
    </row>
  </sheetData>
  <mergeCells count="9">
    <mergeCell ref="A1:H1"/>
    <mergeCell ref="B2:E2"/>
    <mergeCell ref="J3:L3"/>
    <mergeCell ref="W4:X4"/>
    <mergeCell ref="W1:X1"/>
    <mergeCell ref="W2:X2"/>
    <mergeCell ref="U1:V1"/>
    <mergeCell ref="U2:V2"/>
    <mergeCell ref="U4:V4"/>
  </mergeCells>
  <phoneticPr fontId="0" type="noConversion"/>
  <pageMargins left="0.75" right="0.75" top="1" bottom="1" header="0.5" footer="0.5"/>
  <pageSetup paperSize="9" scale="66" orientation="portrait" horizontalDpi="300" verticalDpi="0" copies="0" r:id="rId1"/>
  <headerFooter alignWithMargins="0"/>
  <colBreaks count="2" manualBreakCount="2">
    <brk id="10" max="57" man="1"/>
    <brk id="2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72"/>
  <sheetViews>
    <sheetView tabSelected="1" zoomScaleNormal="100" workbookViewId="0" xr3:uid="{958C4451-9541-5A59-BF78-D2F731DF1C81}">
      <pane xSplit="1" ySplit="6" topLeftCell="B7" activePane="bottomRight" state="frozen"/>
      <selection pane="bottomRight" activeCell="A2" sqref="A2"/>
      <selection pane="bottomLeft" activeCell="A7" sqref="A7"/>
      <selection pane="topRight" activeCell="B1" sqref="B1"/>
    </sheetView>
  </sheetViews>
  <sheetFormatPr defaultRowHeight="12.75"/>
  <cols>
    <col min="1" max="1" width="14.7109375" customWidth="1"/>
    <col min="2" max="14" width="7.7109375" customWidth="1"/>
    <col min="15" max="15" width="4.7109375" customWidth="1"/>
    <col min="16" max="22" width="7.7109375" customWidth="1"/>
    <col min="23" max="23" width="3.7109375" customWidth="1"/>
    <col min="24" max="28" width="7.7109375" customWidth="1"/>
    <col min="29" max="29" width="3.7109375" customWidth="1"/>
    <col min="30" max="34" width="7.7109375" customWidth="1"/>
  </cols>
  <sheetData>
    <row r="1" spans="1:34">
      <c r="A1" s="24" t="s">
        <v>131</v>
      </c>
      <c r="B1" s="24"/>
      <c r="C1" s="24"/>
      <c r="D1" s="24"/>
      <c r="E1" s="24"/>
      <c r="F1" s="24"/>
      <c r="G1" s="24"/>
      <c r="H1" s="24"/>
      <c r="AD1" s="24" t="s">
        <v>132</v>
      </c>
      <c r="AE1" s="24"/>
      <c r="AF1" s="24"/>
      <c r="AG1" s="24"/>
    </row>
    <row r="2" spans="1:34">
      <c r="A2" s="6"/>
      <c r="B2" s="24" t="s">
        <v>3</v>
      </c>
      <c r="C2" s="24"/>
      <c r="D2" s="24"/>
      <c r="E2" s="24"/>
      <c r="I2" s="23"/>
      <c r="J2" s="23"/>
      <c r="K2" s="23"/>
      <c r="L2" s="23"/>
      <c r="M2" s="23"/>
      <c r="AD2" s="24" t="s">
        <v>133</v>
      </c>
      <c r="AE2" s="24"/>
      <c r="AF2" s="24"/>
      <c r="AG2" s="24"/>
    </row>
    <row r="3" spans="1:34">
      <c r="A3" s="21" t="s">
        <v>5</v>
      </c>
      <c r="I3" s="6" t="s">
        <v>6</v>
      </c>
      <c r="J3" s="25" t="s">
        <v>7</v>
      </c>
      <c r="K3" s="25"/>
      <c r="L3" s="25"/>
      <c r="R3" s="24" t="s">
        <v>134</v>
      </c>
      <c r="S3" s="24"/>
      <c r="T3" s="24"/>
      <c r="U3" s="27" t="s">
        <v>135</v>
      </c>
      <c r="V3" s="27"/>
      <c r="X3" s="24" t="s">
        <v>136</v>
      </c>
      <c r="Y3" s="24"/>
      <c r="Z3" s="24"/>
      <c r="AA3" s="26" t="s">
        <v>135</v>
      </c>
      <c r="AB3" s="26"/>
      <c r="AD3" s="24" t="s">
        <v>136</v>
      </c>
      <c r="AE3" s="24"/>
      <c r="AF3" s="24"/>
      <c r="AG3" t="s">
        <v>135</v>
      </c>
    </row>
    <row r="4" spans="1:34">
      <c r="A4" s="6"/>
      <c r="P4" s="24" t="s">
        <v>9</v>
      </c>
      <c r="Q4" s="24"/>
      <c r="R4" s="24" t="s">
        <v>137</v>
      </c>
      <c r="S4" s="24"/>
      <c r="U4" s="26" t="s">
        <v>138</v>
      </c>
      <c r="V4" s="26"/>
      <c r="X4" s="24" t="s">
        <v>137</v>
      </c>
      <c r="Y4" s="24"/>
      <c r="AA4" s="26" t="s">
        <v>138</v>
      </c>
      <c r="AB4" s="26"/>
      <c r="AD4" s="26" t="s">
        <v>137</v>
      </c>
      <c r="AE4" s="26"/>
      <c r="AG4" t="s">
        <v>139</v>
      </c>
    </row>
    <row r="5" spans="1:34">
      <c r="A5" s="9" t="s">
        <v>19</v>
      </c>
      <c r="B5" s="21" t="s">
        <v>20</v>
      </c>
      <c r="C5" s="21" t="s">
        <v>21</v>
      </c>
      <c r="D5" s="21" t="s">
        <v>22</v>
      </c>
      <c r="E5" s="21" t="s">
        <v>23</v>
      </c>
      <c r="F5" s="21" t="s">
        <v>24</v>
      </c>
      <c r="G5" s="21" t="s">
        <v>25</v>
      </c>
      <c r="H5" s="21" t="s">
        <v>26</v>
      </c>
      <c r="I5" s="21" t="s">
        <v>27</v>
      </c>
      <c r="J5" s="21" t="s">
        <v>28</v>
      </c>
      <c r="K5" s="21" t="s">
        <v>38</v>
      </c>
      <c r="L5" s="21" t="s">
        <v>39</v>
      </c>
      <c r="M5" s="21" t="s">
        <v>29</v>
      </c>
      <c r="N5" s="21" t="s">
        <v>30</v>
      </c>
      <c r="P5" s="21" t="s">
        <v>37</v>
      </c>
      <c r="Q5" s="21" t="s">
        <v>140</v>
      </c>
      <c r="R5" s="21" t="s">
        <v>37</v>
      </c>
      <c r="S5" s="21" t="s">
        <v>141</v>
      </c>
      <c r="T5" s="7" t="s">
        <v>142</v>
      </c>
      <c r="U5" s="21" t="s">
        <v>37</v>
      </c>
      <c r="V5" s="7" t="s">
        <v>142</v>
      </c>
      <c r="X5" s="21" t="s">
        <v>37</v>
      </c>
      <c r="Y5" s="21" t="s">
        <v>141</v>
      </c>
      <c r="Z5" s="7" t="s">
        <v>142</v>
      </c>
      <c r="AA5" s="21" t="s">
        <v>37</v>
      </c>
      <c r="AB5" s="7" t="s">
        <v>142</v>
      </c>
      <c r="AD5" s="21" t="s">
        <v>37</v>
      </c>
      <c r="AE5" s="21" t="s">
        <v>141</v>
      </c>
      <c r="AF5" s="7" t="s">
        <v>142</v>
      </c>
      <c r="AG5" s="21" t="s">
        <v>37</v>
      </c>
      <c r="AH5" s="18" t="s">
        <v>142</v>
      </c>
    </row>
    <row r="6" spans="1:34">
      <c r="A6" s="9"/>
      <c r="B6" s="21" t="s">
        <v>49</v>
      </c>
      <c r="C6" s="21" t="s">
        <v>49</v>
      </c>
      <c r="D6" s="21" t="s">
        <v>49</v>
      </c>
      <c r="E6" s="21" t="s">
        <v>50</v>
      </c>
      <c r="F6" s="21" t="s">
        <v>51</v>
      </c>
      <c r="G6" s="21" t="s">
        <v>50</v>
      </c>
      <c r="H6" s="21" t="s">
        <v>50</v>
      </c>
      <c r="I6" s="21" t="s">
        <v>51</v>
      </c>
      <c r="J6" s="21" t="s">
        <v>49</v>
      </c>
      <c r="K6" s="21" t="s">
        <v>49</v>
      </c>
      <c r="L6" s="21" t="s">
        <v>49</v>
      </c>
      <c r="M6" s="21"/>
      <c r="N6" s="21" t="s">
        <v>52</v>
      </c>
      <c r="P6" s="21" t="s">
        <v>54</v>
      </c>
      <c r="Q6" s="21" t="s">
        <v>55</v>
      </c>
      <c r="R6" s="21" t="s">
        <v>54</v>
      </c>
      <c r="S6" s="21" t="s">
        <v>55</v>
      </c>
      <c r="T6" s="21" t="s">
        <v>143</v>
      </c>
      <c r="U6" s="21" t="s">
        <v>54</v>
      </c>
      <c r="V6" s="21" t="s">
        <v>144</v>
      </c>
      <c r="X6" s="21" t="s">
        <v>54</v>
      </c>
      <c r="Y6" s="21" t="s">
        <v>55</v>
      </c>
      <c r="Z6" s="21" t="s">
        <v>143</v>
      </c>
      <c r="AA6" s="21" t="s">
        <v>54</v>
      </c>
      <c r="AB6" s="21" t="s">
        <v>144</v>
      </c>
      <c r="AD6" s="21" t="s">
        <v>54</v>
      </c>
      <c r="AE6" s="21" t="s">
        <v>55</v>
      </c>
      <c r="AF6" s="21" t="s">
        <v>143</v>
      </c>
      <c r="AG6" s="21" t="s">
        <v>54</v>
      </c>
      <c r="AH6" s="13" t="s">
        <v>144</v>
      </c>
    </row>
    <row r="7" spans="1:34">
      <c r="A7" s="21" t="str">
        <f>Data!A7</f>
        <v>Zhang &amp; Guo</v>
      </c>
      <c r="B7" s="21">
        <f>Data!B7</f>
        <v>2006</v>
      </c>
      <c r="C7" t="s">
        <v>145</v>
      </c>
      <c r="G7" s="23" t="s">
        <v>65</v>
      </c>
      <c r="H7" t="s">
        <v>146</v>
      </c>
    </row>
    <row r="8" spans="1:34">
      <c r="A8" s="23" t="str">
        <f>Data!A8</f>
        <v>SA1</v>
      </c>
      <c r="B8" s="11">
        <f>Data!B8</f>
        <v>150.19999999999999</v>
      </c>
      <c r="C8" s="11">
        <f>Data!C8</f>
        <v>150.19999999999999</v>
      </c>
      <c r="D8" s="11">
        <f>Data!D8</f>
        <v>2.91</v>
      </c>
      <c r="E8" s="11">
        <f>Data!E8</f>
        <v>319.3</v>
      </c>
      <c r="F8" s="11">
        <f>Data!F8</f>
        <v>200</v>
      </c>
      <c r="G8" s="11">
        <f>Data!G8</f>
        <v>94.1</v>
      </c>
      <c r="H8" s="11">
        <f>Data!H8</f>
        <v>68.5</v>
      </c>
      <c r="I8" s="12">
        <f>Data!I8</f>
        <v>40.506163499641971</v>
      </c>
      <c r="J8" s="11">
        <f>Data!J8</f>
        <v>1110</v>
      </c>
      <c r="K8">
        <f>Data!Y8</f>
        <v>1.1000000000000001</v>
      </c>
      <c r="M8" s="2">
        <f t="shared" ref="M8:M33" si="0">J8/B8</f>
        <v>7.390146471371505</v>
      </c>
      <c r="N8" s="3">
        <f>Data!L8</f>
        <v>0.3410282576984463</v>
      </c>
      <c r="P8">
        <f>Data!O8</f>
        <v>2352</v>
      </c>
      <c r="Q8" s="4">
        <f>Data!Q8</f>
        <v>2.5872000000000002</v>
      </c>
      <c r="R8">
        <v>1998</v>
      </c>
      <c r="S8">
        <v>2.8</v>
      </c>
      <c r="T8" s="4">
        <f t="shared" ref="T8:T33" si="1">P8/R8</f>
        <v>1.1771771771771771</v>
      </c>
      <c r="U8" s="5">
        <v>1670</v>
      </c>
      <c r="V8" s="4">
        <f>P8/U8</f>
        <v>1.408383233532934</v>
      </c>
      <c r="X8" s="5">
        <f>Data!W8</f>
        <v>1871</v>
      </c>
      <c r="Y8">
        <v>3.4</v>
      </c>
      <c r="Z8" s="4">
        <f t="shared" ref="Z8:Z33" si="2">P8/X8</f>
        <v>1.2570817744521645</v>
      </c>
      <c r="AA8">
        <v>1670</v>
      </c>
      <c r="AB8" s="4">
        <f>P8/AA8</f>
        <v>1.408383233532934</v>
      </c>
      <c r="AD8">
        <v>1759</v>
      </c>
      <c r="AE8" s="2">
        <v>10.7</v>
      </c>
      <c r="AF8" s="4">
        <f>P8/AD8</f>
        <v>1.3371233655486072</v>
      </c>
      <c r="AG8">
        <v>1572</v>
      </c>
      <c r="AH8" s="4">
        <f t="shared" ref="AH8:AH33" si="3">P8/AG8</f>
        <v>1.4961832061068703</v>
      </c>
    </row>
    <row r="9" spans="1:34">
      <c r="A9" s="23" t="str">
        <f>Data!A9</f>
        <v>SA2</v>
      </c>
      <c r="B9" s="11">
        <f>Data!B9</f>
        <v>149.5</v>
      </c>
      <c r="C9" s="11">
        <f>Data!C9</f>
        <v>149.5</v>
      </c>
      <c r="D9" s="11">
        <f>Data!D9</f>
        <v>2.89</v>
      </c>
      <c r="E9" s="11">
        <f>Data!E9</f>
        <v>319.3</v>
      </c>
      <c r="F9" s="11">
        <f>Data!F9</f>
        <v>200</v>
      </c>
      <c r="G9" s="11">
        <f>Data!G9</f>
        <v>94.1</v>
      </c>
      <c r="H9" s="11">
        <f>Data!H9</f>
        <v>68.5</v>
      </c>
      <c r="I9" s="12">
        <f>Data!I9</f>
        <v>40.506163499641971</v>
      </c>
      <c r="J9" s="11">
        <f>Data!J9</f>
        <v>2200</v>
      </c>
      <c r="K9">
        <f>Data!Y9</f>
        <v>3.5</v>
      </c>
      <c r="M9" s="2">
        <f t="shared" si="0"/>
        <v>14.715719063545151</v>
      </c>
      <c r="N9" s="3">
        <f>Data!L9</f>
        <v>0.67928099931572417</v>
      </c>
      <c r="P9">
        <f>Data!O9</f>
        <v>2077</v>
      </c>
      <c r="Q9" s="4">
        <f>Data!Q9</f>
        <v>7.2694999999999999</v>
      </c>
      <c r="R9">
        <v>1641</v>
      </c>
      <c r="S9">
        <v>5.8</v>
      </c>
      <c r="T9" s="4">
        <f t="shared" si="1"/>
        <v>1.2656916514320535</v>
      </c>
      <c r="U9" s="5">
        <v>1416</v>
      </c>
      <c r="V9" s="4">
        <f t="shared" ref="V9:V33" si="4">P9/U9</f>
        <v>1.4668079096045197</v>
      </c>
      <c r="X9" s="5">
        <f>Data!W9</f>
        <v>1557</v>
      </c>
      <c r="Y9">
        <v>10</v>
      </c>
      <c r="Z9" s="4">
        <f t="shared" si="2"/>
        <v>1.333975594091201</v>
      </c>
      <c r="AA9">
        <v>1411</v>
      </c>
      <c r="AB9" s="4">
        <f t="shared" ref="AB9:AB33" si="5">P9/AA9</f>
        <v>1.4720056697377746</v>
      </c>
      <c r="AD9">
        <v>1301</v>
      </c>
      <c r="AE9" s="2">
        <v>24.3</v>
      </c>
      <c r="AF9" s="4">
        <f t="shared" ref="AF9:AF65" si="6">P9/AD9</f>
        <v>1.5964642582628747</v>
      </c>
      <c r="AG9">
        <v>1187</v>
      </c>
      <c r="AH9" s="4">
        <f t="shared" si="3"/>
        <v>1.7497893850042123</v>
      </c>
    </row>
    <row r="10" spans="1:34">
      <c r="A10" s="23" t="str">
        <f>Data!A10</f>
        <v>SA3</v>
      </c>
      <c r="B10" s="11">
        <f>Data!B10</f>
        <v>148.6</v>
      </c>
      <c r="C10" s="11">
        <f>Data!C10</f>
        <v>148.6</v>
      </c>
      <c r="D10" s="11">
        <f>Data!D10</f>
        <v>2.93</v>
      </c>
      <c r="E10" s="11">
        <f>Data!E10</f>
        <v>319.3</v>
      </c>
      <c r="F10" s="11">
        <f>Data!F10</f>
        <v>200</v>
      </c>
      <c r="G10" s="11">
        <f>Data!G10</f>
        <v>94.1</v>
      </c>
      <c r="H10" s="11">
        <f>Data!H10</f>
        <v>68.5</v>
      </c>
      <c r="I10" s="12">
        <f>Data!I10</f>
        <v>40.506163499641971</v>
      </c>
      <c r="J10" s="11">
        <f>Data!J10</f>
        <v>3101</v>
      </c>
      <c r="K10">
        <f>Data!Y10</f>
        <v>2.5</v>
      </c>
      <c r="M10" s="2">
        <f t="shared" si="0"/>
        <v>20.868102288021536</v>
      </c>
      <c r="N10" s="3">
        <f>Data!L10</f>
        <v>0.96070067397888215</v>
      </c>
      <c r="P10">
        <f>Data!O10</f>
        <v>1558</v>
      </c>
      <c r="Q10" s="4">
        <f>Data!Q10</f>
        <v>3.895</v>
      </c>
      <c r="R10">
        <v>1263</v>
      </c>
      <c r="S10">
        <v>3.2</v>
      </c>
      <c r="T10" s="4">
        <f t="shared" si="1"/>
        <v>1.2335708630245448</v>
      </c>
      <c r="U10" s="5">
        <v>1150</v>
      </c>
      <c r="V10" s="4">
        <f t="shared" si="4"/>
        <v>1.3547826086956523</v>
      </c>
      <c r="X10" s="5">
        <f>Data!W10</f>
        <v>1250</v>
      </c>
      <c r="Y10">
        <v>6.8</v>
      </c>
      <c r="Z10" s="4">
        <f t="shared" si="2"/>
        <v>1.2464</v>
      </c>
      <c r="AA10">
        <v>1166</v>
      </c>
      <c r="AB10" s="4">
        <f t="shared" si="5"/>
        <v>1.3361921097770155</v>
      </c>
      <c r="AD10">
        <v>903</v>
      </c>
      <c r="AE10" s="2">
        <v>24.3</v>
      </c>
      <c r="AF10" s="4">
        <f t="shared" si="6"/>
        <v>1.7253599114064231</v>
      </c>
      <c r="AG10">
        <v>855</v>
      </c>
      <c r="AH10" s="4">
        <f t="shared" si="3"/>
        <v>1.8222222222222222</v>
      </c>
    </row>
    <row r="11" spans="1:34">
      <c r="A11" s="23" t="str">
        <f>Data!A11</f>
        <v>SA4</v>
      </c>
      <c r="B11" s="11">
        <f>Data!B11</f>
        <v>151.4</v>
      </c>
      <c r="C11" s="11">
        <f>Data!C11</f>
        <v>151.4</v>
      </c>
      <c r="D11" s="11">
        <f>Data!D11</f>
        <v>4.7699999999999996</v>
      </c>
      <c r="E11" s="11">
        <f>Data!E11</f>
        <v>316.60000000000002</v>
      </c>
      <c r="F11" s="11">
        <f>Data!F11</f>
        <v>200</v>
      </c>
      <c r="G11" s="11">
        <f>Data!G11</f>
        <v>94.1</v>
      </c>
      <c r="H11" s="11">
        <f>Data!H11</f>
        <v>68.5</v>
      </c>
      <c r="I11" s="12">
        <f>Data!I11</f>
        <v>40.506163499641971</v>
      </c>
      <c r="J11" s="11">
        <f>Data!J11</f>
        <v>1085</v>
      </c>
      <c r="K11">
        <f>Data!Y11</f>
        <v>1.1000000000000001</v>
      </c>
      <c r="M11" s="2">
        <f t="shared" si="0"/>
        <v>7.1664464993394974</v>
      </c>
      <c r="N11" s="3">
        <f>Data!L11</f>
        <v>0.30906522182226848</v>
      </c>
      <c r="P11">
        <f>Data!O11</f>
        <v>2597</v>
      </c>
      <c r="Q11" s="4">
        <f>Data!Q11</f>
        <v>2.8567000000000005</v>
      </c>
      <c r="R11">
        <v>2303</v>
      </c>
      <c r="S11">
        <v>2.7</v>
      </c>
      <c r="T11" s="4">
        <f t="shared" si="1"/>
        <v>1.1276595744680851</v>
      </c>
      <c r="U11" s="5">
        <v>1973</v>
      </c>
      <c r="V11" s="4">
        <f t="shared" si="4"/>
        <v>1.3162696401419158</v>
      </c>
      <c r="X11" s="5">
        <f>Data!W11</f>
        <v>2166</v>
      </c>
      <c r="Y11">
        <v>3.6</v>
      </c>
      <c r="Z11" s="4">
        <f t="shared" si="2"/>
        <v>1.1989843028624192</v>
      </c>
      <c r="AA11">
        <v>1973</v>
      </c>
      <c r="AB11" s="4">
        <f t="shared" si="5"/>
        <v>1.3162696401419158</v>
      </c>
      <c r="AD11">
        <v>2041</v>
      </c>
      <c r="AE11" s="2">
        <v>11.7</v>
      </c>
      <c r="AF11" s="4">
        <f t="shared" si="6"/>
        <v>1.2724154826065655</v>
      </c>
      <c r="AG11">
        <v>1862</v>
      </c>
      <c r="AH11" s="4">
        <f t="shared" si="3"/>
        <v>1.3947368421052631</v>
      </c>
    </row>
    <row r="12" spans="1:34">
      <c r="A12" s="23" t="str">
        <f>Data!A12</f>
        <v>SA5</v>
      </c>
      <c r="B12" s="11">
        <f>Data!B12</f>
        <v>150</v>
      </c>
      <c r="C12" s="11">
        <f>Data!C12</f>
        <v>150</v>
      </c>
      <c r="D12" s="11">
        <f>Data!D12</f>
        <v>4.9000000000000004</v>
      </c>
      <c r="E12" s="11">
        <f>Data!E12</f>
        <v>316.60000000000002</v>
      </c>
      <c r="F12" s="11">
        <f>Data!F12</f>
        <v>200</v>
      </c>
      <c r="G12" s="11">
        <f>Data!G12</f>
        <v>94.1</v>
      </c>
      <c r="H12" s="11">
        <f>Data!H12</f>
        <v>68.5</v>
      </c>
      <c r="I12" s="12">
        <f>Data!I12</f>
        <v>40.506163499641971</v>
      </c>
      <c r="J12" s="11">
        <f>Data!J12</f>
        <v>2201</v>
      </c>
      <c r="K12">
        <f>Data!Y12</f>
        <v>2</v>
      </c>
      <c r="M12" s="2">
        <f t="shared" si="0"/>
        <v>14.673333333333334</v>
      </c>
      <c r="N12" s="3">
        <f>Data!L12</f>
        <v>0.62976929691595773</v>
      </c>
      <c r="P12">
        <f>Data!O12</f>
        <v>2381</v>
      </c>
      <c r="Q12" s="4">
        <f>Data!Q12</f>
        <v>4.7619999999999996</v>
      </c>
      <c r="R12">
        <v>1989</v>
      </c>
      <c r="S12">
        <v>4.4000000000000004</v>
      </c>
      <c r="T12" s="4">
        <f t="shared" si="1"/>
        <v>1.1970839617898441</v>
      </c>
      <c r="U12" s="5">
        <v>1746</v>
      </c>
      <c r="V12" s="4">
        <f t="shared" si="4"/>
        <v>1.36368843069874</v>
      </c>
      <c r="X12" s="5">
        <f>Data!W12</f>
        <v>1896</v>
      </c>
      <c r="Y12">
        <v>6.5</v>
      </c>
      <c r="Z12" s="4">
        <f t="shared" si="2"/>
        <v>1.255801687763713</v>
      </c>
      <c r="AA12">
        <v>1747</v>
      </c>
      <c r="AB12" s="4">
        <f t="shared" si="5"/>
        <v>1.3629078420148826</v>
      </c>
      <c r="AD12">
        <v>1639</v>
      </c>
      <c r="AE12" s="2">
        <v>24.6</v>
      </c>
      <c r="AF12" s="4">
        <f t="shared" si="6"/>
        <v>1.4527150701647347</v>
      </c>
      <c r="AG12">
        <v>1509</v>
      </c>
      <c r="AH12" s="4">
        <f t="shared" si="3"/>
        <v>1.5778661365142479</v>
      </c>
    </row>
    <row r="13" spans="1:34">
      <c r="A13" s="23" t="str">
        <f>Data!A13</f>
        <v>SA6</v>
      </c>
      <c r="B13" s="11">
        <f>Data!B13</f>
        <v>150.69999999999999</v>
      </c>
      <c r="C13" s="11">
        <f>Data!C13</f>
        <v>150.69999999999999</v>
      </c>
      <c r="D13" s="11">
        <f>Data!D13</f>
        <v>4.8899999999999997</v>
      </c>
      <c r="E13" s="11">
        <f>Data!E13</f>
        <v>316.60000000000002</v>
      </c>
      <c r="F13" s="11">
        <f>Data!F13</f>
        <v>200</v>
      </c>
      <c r="G13" s="11">
        <f>Data!G13</f>
        <v>94.1</v>
      </c>
      <c r="H13" s="11">
        <f>Data!H13</f>
        <v>68.5</v>
      </c>
      <c r="I13" s="12">
        <f>Data!I13</f>
        <v>40.506163499641971</v>
      </c>
      <c r="J13" s="11">
        <f>Data!J13</f>
        <v>3100</v>
      </c>
      <c r="K13">
        <f>Data!Y13</f>
        <v>3.5</v>
      </c>
      <c r="M13" s="2">
        <f t="shared" si="0"/>
        <v>20.570670205706705</v>
      </c>
      <c r="N13" s="3">
        <f>Data!L13</f>
        <v>0.88366461780553074</v>
      </c>
      <c r="P13">
        <f>Data!O13</f>
        <v>1627</v>
      </c>
      <c r="Q13" s="4">
        <f>Data!Q13</f>
        <v>5.6944999999999997</v>
      </c>
      <c r="R13">
        <v>1575</v>
      </c>
      <c r="S13">
        <v>5.5</v>
      </c>
      <c r="T13" s="4">
        <f t="shared" si="1"/>
        <v>1.0330158730158729</v>
      </c>
      <c r="U13" s="5">
        <v>1450</v>
      </c>
      <c r="V13" s="4">
        <f t="shared" si="4"/>
        <v>1.1220689655172413</v>
      </c>
      <c r="X13" s="5">
        <f>Data!W13</f>
        <v>1566</v>
      </c>
      <c r="Y13">
        <v>10.3</v>
      </c>
      <c r="Z13" s="4">
        <f t="shared" si="2"/>
        <v>1.0389527458492975</v>
      </c>
      <c r="AA13">
        <v>1478</v>
      </c>
      <c r="AB13" s="4">
        <f t="shared" si="5"/>
        <v>1.1008119079837619</v>
      </c>
      <c r="AD13">
        <v>1231</v>
      </c>
      <c r="AE13" s="2">
        <v>30.9</v>
      </c>
      <c r="AF13" s="4">
        <f t="shared" si="6"/>
        <v>1.3216896831844029</v>
      </c>
      <c r="AG13">
        <v>1169</v>
      </c>
      <c r="AH13" s="4">
        <f t="shared" si="3"/>
        <v>1.3917878528656973</v>
      </c>
    </row>
    <row r="14" spans="1:34">
      <c r="A14" s="23" t="str">
        <f>Data!A14</f>
        <v>RA1</v>
      </c>
      <c r="B14" s="11">
        <f>Data!B14</f>
        <v>134.9</v>
      </c>
      <c r="C14" s="11">
        <f>Data!C14</f>
        <v>175.7</v>
      </c>
      <c r="D14" s="11">
        <f>Data!D14</f>
        <v>2.91</v>
      </c>
      <c r="E14" s="11">
        <f>Data!E14</f>
        <v>319.3</v>
      </c>
      <c r="F14" s="11">
        <f>Data!F14</f>
        <v>200</v>
      </c>
      <c r="G14" s="11">
        <f>Data!G14</f>
        <v>94.1</v>
      </c>
      <c r="H14" s="11">
        <f>Data!H14</f>
        <v>68.5</v>
      </c>
      <c r="I14" s="12">
        <f>Data!I14</f>
        <v>40.506163499641971</v>
      </c>
      <c r="J14" s="11">
        <f>Data!J14</f>
        <v>993</v>
      </c>
      <c r="K14">
        <f>Data!Y14</f>
        <v>1</v>
      </c>
      <c r="M14" s="2">
        <f t="shared" si="0"/>
        <v>7.361008154188287</v>
      </c>
      <c r="N14" s="3">
        <f>Data!L14</f>
        <v>0.33517982581343864</v>
      </c>
      <c r="P14">
        <f>Data!O14</f>
        <v>2401</v>
      </c>
      <c r="Q14" s="4">
        <f>Data!Q14</f>
        <v>2.4009999999999998</v>
      </c>
      <c r="R14">
        <v>2153</v>
      </c>
      <c r="S14">
        <v>2.4</v>
      </c>
      <c r="T14" s="4">
        <f t="shared" si="1"/>
        <v>1.1151881096144913</v>
      </c>
      <c r="U14" s="5">
        <v>1794</v>
      </c>
      <c r="V14" s="4">
        <f t="shared" si="4"/>
        <v>1.3383500557413601</v>
      </c>
      <c r="X14" s="5">
        <f>Data!W14</f>
        <v>1975</v>
      </c>
      <c r="Y14">
        <v>3.2</v>
      </c>
      <c r="Z14" s="4">
        <f t="shared" si="2"/>
        <v>1.2156962025316456</v>
      </c>
      <c r="AA14">
        <v>1764</v>
      </c>
      <c r="AB14" s="4">
        <f t="shared" si="5"/>
        <v>1.3611111111111112</v>
      </c>
      <c r="AD14">
        <v>1886</v>
      </c>
      <c r="AE14" s="2">
        <v>9.8000000000000007</v>
      </c>
      <c r="AF14" s="4">
        <f t="shared" si="6"/>
        <v>1.2730646871686109</v>
      </c>
      <c r="AG14">
        <v>1690</v>
      </c>
      <c r="AH14" s="4">
        <f t="shared" si="3"/>
        <v>1.4207100591715975</v>
      </c>
    </row>
    <row r="15" spans="1:34">
      <c r="A15" s="23" t="str">
        <f>Data!A15</f>
        <v>RA2</v>
      </c>
      <c r="B15" s="11">
        <f>Data!B15</f>
        <v>136.30000000000001</v>
      </c>
      <c r="C15" s="11">
        <f>Data!C15</f>
        <v>176.5</v>
      </c>
      <c r="D15" s="11">
        <f>Data!D15</f>
        <v>2.91</v>
      </c>
      <c r="E15" s="11">
        <f>Data!E15</f>
        <v>319.3</v>
      </c>
      <c r="F15" s="11">
        <f>Data!F15</f>
        <v>200</v>
      </c>
      <c r="G15" s="11">
        <f>Data!G15</f>
        <v>94.1</v>
      </c>
      <c r="H15" s="11">
        <f>Data!H15</f>
        <v>68.5</v>
      </c>
      <c r="I15" s="12">
        <f>Data!I15</f>
        <v>40.506163499641971</v>
      </c>
      <c r="J15" s="11">
        <f>Data!J15</f>
        <v>1980</v>
      </c>
      <c r="K15">
        <f>Data!Y15</f>
        <v>3</v>
      </c>
      <c r="M15" s="2">
        <f t="shared" si="0"/>
        <v>14.526779163609683</v>
      </c>
      <c r="N15" s="3">
        <f>Data!L15</f>
        <v>0.66241583984742491</v>
      </c>
      <c r="P15">
        <f>Data!O15</f>
        <v>2283</v>
      </c>
      <c r="Q15" s="4">
        <f>Data!Q15</f>
        <v>6.8490000000000002</v>
      </c>
      <c r="R15">
        <v>1951</v>
      </c>
      <c r="S15">
        <v>5.9</v>
      </c>
      <c r="T15" s="4">
        <f t="shared" si="1"/>
        <v>1.1701691440287032</v>
      </c>
      <c r="U15" s="5">
        <v>1636</v>
      </c>
      <c r="V15" s="4">
        <f t="shared" si="4"/>
        <v>1.395476772616137</v>
      </c>
      <c r="X15" s="5">
        <f>Data!W15</f>
        <v>1734</v>
      </c>
      <c r="Y15">
        <v>8.1</v>
      </c>
      <c r="Z15" s="4">
        <f t="shared" si="2"/>
        <v>1.3166089965397925</v>
      </c>
      <c r="AA15">
        <v>1569</v>
      </c>
      <c r="AB15" s="4">
        <f t="shared" si="5"/>
        <v>1.4550669216061185</v>
      </c>
      <c r="AD15">
        <v>1546</v>
      </c>
      <c r="AE15" s="2">
        <v>21.5</v>
      </c>
      <c r="AF15" s="4">
        <f t="shared" si="6"/>
        <v>1.4767141009055627</v>
      </c>
      <c r="AG15">
        <v>1403</v>
      </c>
      <c r="AH15" s="4">
        <f t="shared" si="3"/>
        <v>1.6272273699215967</v>
      </c>
    </row>
    <row r="16" spans="1:34">
      <c r="A16" s="23" t="str">
        <f>Data!A16</f>
        <v>RA3</v>
      </c>
      <c r="B16" s="11">
        <f>Data!B16</f>
        <v>124.6</v>
      </c>
      <c r="C16" s="11">
        <f>Data!C16</f>
        <v>199.3</v>
      </c>
      <c r="D16" s="11">
        <f>Data!D16</f>
        <v>2.92</v>
      </c>
      <c r="E16" s="11">
        <f>Data!E16</f>
        <v>319.3</v>
      </c>
      <c r="F16" s="11">
        <f>Data!F16</f>
        <v>200</v>
      </c>
      <c r="G16" s="11">
        <f>Data!G16</f>
        <v>94.1</v>
      </c>
      <c r="H16" s="11">
        <f>Data!H16</f>
        <v>68.5</v>
      </c>
      <c r="I16" s="12">
        <f>Data!I16</f>
        <v>40.506163499641971</v>
      </c>
      <c r="J16" s="11">
        <f>Data!J16</f>
        <v>921</v>
      </c>
      <c r="K16">
        <f>Data!Y16</f>
        <v>0.9</v>
      </c>
      <c r="M16" s="2">
        <f t="shared" si="0"/>
        <v>7.3916532905296952</v>
      </c>
      <c r="N16" s="3">
        <f>Data!L16</f>
        <v>0.33283477163111186</v>
      </c>
      <c r="P16">
        <f>Data!O16</f>
        <v>2636</v>
      </c>
      <c r="Q16" s="4">
        <f>Data!Q16</f>
        <v>2.3724000000000003</v>
      </c>
      <c r="R16">
        <v>2272</v>
      </c>
      <c r="S16">
        <v>3.4</v>
      </c>
      <c r="T16" s="4">
        <f t="shared" si="1"/>
        <v>1.1602112676056338</v>
      </c>
      <c r="U16" s="5">
        <v>1896</v>
      </c>
      <c r="V16" s="4">
        <f t="shared" si="4"/>
        <v>1.390295358649789</v>
      </c>
      <c r="X16" s="5">
        <f>Data!W16</f>
        <v>2070</v>
      </c>
      <c r="Y16">
        <v>2.4</v>
      </c>
      <c r="Z16" s="4">
        <f t="shared" si="2"/>
        <v>1.2734299516908212</v>
      </c>
      <c r="AA16">
        <v>1849</v>
      </c>
      <c r="AB16" s="4">
        <f t="shared" si="5"/>
        <v>1.4256354786371011</v>
      </c>
      <c r="AD16">
        <v>2008</v>
      </c>
      <c r="AE16" s="2">
        <v>8.9</v>
      </c>
      <c r="AF16" s="4">
        <f t="shared" si="6"/>
        <v>1.3127490039840637</v>
      </c>
      <c r="AG16">
        <v>1787</v>
      </c>
      <c r="AH16" s="4">
        <f t="shared" si="3"/>
        <v>1.4750979294907667</v>
      </c>
    </row>
    <row r="17" spans="1:34">
      <c r="A17" s="23" t="str">
        <f>Data!A17</f>
        <v>RA4</v>
      </c>
      <c r="B17" s="11">
        <f>Data!B17</f>
        <v>125.9</v>
      </c>
      <c r="C17" s="11">
        <f>Data!C17</f>
        <v>199.9</v>
      </c>
      <c r="D17" s="11">
        <f>Data!D17</f>
        <v>2.9</v>
      </c>
      <c r="E17" s="11">
        <f>Data!E17</f>
        <v>319.3</v>
      </c>
      <c r="F17" s="11">
        <f>Data!F17</f>
        <v>200</v>
      </c>
      <c r="G17" s="11">
        <f>Data!G17</f>
        <v>94.1</v>
      </c>
      <c r="H17" s="11">
        <f>Data!H17</f>
        <v>68.5</v>
      </c>
      <c r="I17" s="12">
        <f>Data!I17</f>
        <v>40.506163499641971</v>
      </c>
      <c r="J17" s="11">
        <f>Data!J17</f>
        <v>1829</v>
      </c>
      <c r="K17">
        <f>Data!Y17</f>
        <v>1.5</v>
      </c>
      <c r="M17" s="2">
        <f t="shared" si="0"/>
        <v>14.527402700555996</v>
      </c>
      <c r="N17" s="3">
        <f>Data!L17</f>
        <v>0.65577338238488359</v>
      </c>
      <c r="P17">
        <f>Data!O17</f>
        <v>2303</v>
      </c>
      <c r="Q17" s="4">
        <f>Data!Q17</f>
        <v>3.4544999999999999</v>
      </c>
      <c r="R17">
        <v>2152</v>
      </c>
      <c r="S17">
        <v>4.3</v>
      </c>
      <c r="T17" s="4">
        <f t="shared" si="1"/>
        <v>1.0701672862453531</v>
      </c>
      <c r="U17" s="5">
        <v>1820</v>
      </c>
      <c r="V17" s="4">
        <f t="shared" si="4"/>
        <v>1.2653846153846153</v>
      </c>
      <c r="X17" s="5">
        <f>Data!W17</f>
        <v>1873</v>
      </c>
      <c r="Y17">
        <v>3.9</v>
      </c>
      <c r="Z17" s="4">
        <f t="shared" si="2"/>
        <v>1.2295782167645488</v>
      </c>
      <c r="AA17">
        <v>1693</v>
      </c>
      <c r="AB17" s="4">
        <f t="shared" si="5"/>
        <v>1.360307147076196</v>
      </c>
      <c r="AD17">
        <v>1722</v>
      </c>
      <c r="AE17" s="2">
        <v>17.100000000000001</v>
      </c>
      <c r="AF17" s="4">
        <f t="shared" si="6"/>
        <v>1.3373983739837398</v>
      </c>
      <c r="AG17">
        <v>1560</v>
      </c>
      <c r="AH17" s="4">
        <f t="shared" si="3"/>
        <v>1.4762820512820514</v>
      </c>
    </row>
    <row r="18" spans="1:34">
      <c r="A18" s="23" t="str">
        <f>Data!A18</f>
        <v>SE1</v>
      </c>
      <c r="B18" s="11">
        <f>Data!B18</f>
        <v>149.4</v>
      </c>
      <c r="C18" s="11">
        <f>Data!C18</f>
        <v>149.4</v>
      </c>
      <c r="D18" s="11">
        <f>Data!D18</f>
        <v>2.89</v>
      </c>
      <c r="E18" s="11">
        <f>Data!E18</f>
        <v>319.3</v>
      </c>
      <c r="F18" s="11">
        <f>Data!F18</f>
        <v>200</v>
      </c>
      <c r="G18" s="11">
        <f>Data!G18</f>
        <v>94.1</v>
      </c>
      <c r="H18" s="11">
        <f>Data!H18</f>
        <v>68.5</v>
      </c>
      <c r="I18" s="12">
        <f>Data!I18</f>
        <v>40.506163499641971</v>
      </c>
      <c r="J18" s="11">
        <f>Data!J18</f>
        <v>1090</v>
      </c>
      <c r="K18">
        <f>Data!Y18</f>
        <v>43</v>
      </c>
      <c r="M18" s="2">
        <f t="shared" si="0"/>
        <v>7.2958500669344044</v>
      </c>
      <c r="N18" s="3">
        <f>Data!L18</f>
        <v>0.33674766586848381</v>
      </c>
      <c r="P18">
        <f>Data!O18</f>
        <v>1147</v>
      </c>
      <c r="Q18" s="4">
        <f>Data!Q18</f>
        <v>49.320999999999998</v>
      </c>
      <c r="R18">
        <v>1082</v>
      </c>
      <c r="S18">
        <v>46.6</v>
      </c>
      <c r="T18" s="4">
        <f t="shared" si="1"/>
        <v>1.0600739371534196</v>
      </c>
      <c r="U18" s="5">
        <v>936</v>
      </c>
      <c r="V18" s="4">
        <f t="shared" si="4"/>
        <v>1.2254273504273505</v>
      </c>
      <c r="X18" s="5">
        <f>Data!W18</f>
        <v>962</v>
      </c>
      <c r="Y18">
        <v>47.9</v>
      </c>
      <c r="Z18" s="4">
        <f t="shared" si="2"/>
        <v>1.1923076923076923</v>
      </c>
      <c r="AA18">
        <v>881</v>
      </c>
      <c r="AB18" s="4">
        <f t="shared" si="5"/>
        <v>1.3019296254256527</v>
      </c>
      <c r="AD18">
        <v>904</v>
      </c>
      <c r="AE18" s="2">
        <v>46.4</v>
      </c>
      <c r="AF18" s="4">
        <f t="shared" si="6"/>
        <v>1.2688053097345133</v>
      </c>
      <c r="AG18">
        <v>831</v>
      </c>
      <c r="AH18" s="4">
        <f t="shared" si="3"/>
        <v>1.3802647412755715</v>
      </c>
    </row>
    <row r="19" spans="1:34">
      <c r="A19" s="23" t="str">
        <f>Data!A19</f>
        <v>SE2</v>
      </c>
      <c r="B19" s="11">
        <f>Data!B19</f>
        <v>150.4</v>
      </c>
      <c r="C19" s="11">
        <f>Data!C19</f>
        <v>150.4</v>
      </c>
      <c r="D19" s="11">
        <f>Data!D19</f>
        <v>2.91</v>
      </c>
      <c r="E19" s="11">
        <f>Data!E19</f>
        <v>319.3</v>
      </c>
      <c r="F19" s="11">
        <f>Data!F19</f>
        <v>200</v>
      </c>
      <c r="G19" s="11">
        <f>Data!G19</f>
        <v>94.1</v>
      </c>
      <c r="H19" s="11">
        <f>Data!H19</f>
        <v>68.5</v>
      </c>
      <c r="I19" s="12">
        <f>Data!I19</f>
        <v>40.506163499641971</v>
      </c>
      <c r="J19" s="11">
        <f>Data!J19</f>
        <v>1115</v>
      </c>
      <c r="K19">
        <f>Data!Y19</f>
        <v>22</v>
      </c>
      <c r="M19" s="2">
        <f t="shared" si="0"/>
        <v>7.4135638297872335</v>
      </c>
      <c r="N19" s="3">
        <f>Data!L19</f>
        <v>0.34217043995473634</v>
      </c>
      <c r="P19">
        <f>Data!O19</f>
        <v>1597</v>
      </c>
      <c r="Q19" s="4">
        <f>Data!Q19</f>
        <v>35.134</v>
      </c>
      <c r="R19">
        <v>1505</v>
      </c>
      <c r="S19">
        <v>33.200000000000003</v>
      </c>
      <c r="T19" s="4">
        <f t="shared" si="1"/>
        <v>1.0611295681063122</v>
      </c>
      <c r="U19" s="5">
        <v>1277</v>
      </c>
      <c r="V19" s="4">
        <f t="shared" si="4"/>
        <v>1.2505873140172279</v>
      </c>
      <c r="X19" s="5">
        <f>Data!W19</f>
        <v>1357</v>
      </c>
      <c r="Y19">
        <v>36.200000000000003</v>
      </c>
      <c r="Z19" s="4">
        <f t="shared" si="2"/>
        <v>1.1768607221812823</v>
      </c>
      <c r="AA19">
        <v>1224</v>
      </c>
      <c r="AB19" s="4">
        <f t="shared" si="5"/>
        <v>1.3047385620915033</v>
      </c>
      <c r="AD19">
        <v>1278</v>
      </c>
      <c r="AE19" s="2">
        <v>37.4</v>
      </c>
      <c r="AF19" s="4">
        <f t="shared" si="6"/>
        <v>1.2496087636932707</v>
      </c>
      <c r="AG19">
        <v>1154</v>
      </c>
      <c r="AH19" s="4">
        <f t="shared" si="3"/>
        <v>1.3838821490467939</v>
      </c>
    </row>
    <row r="20" spans="1:34">
      <c r="A20" s="23" t="str">
        <f>Data!A20</f>
        <v>SE3</v>
      </c>
      <c r="B20" s="11">
        <f>Data!B20</f>
        <v>149.80000000000001</v>
      </c>
      <c r="C20" s="11">
        <f>Data!C20</f>
        <v>149.80000000000001</v>
      </c>
      <c r="D20" s="11">
        <f>Data!D20</f>
        <v>2.92</v>
      </c>
      <c r="E20" s="11">
        <f>Data!E20</f>
        <v>319.3</v>
      </c>
      <c r="F20" s="11">
        <f>Data!F20</f>
        <v>200</v>
      </c>
      <c r="G20" s="11">
        <f>Data!G20</f>
        <v>94.1</v>
      </c>
      <c r="H20" s="11">
        <f>Data!H20</f>
        <v>68.5</v>
      </c>
      <c r="I20" s="12">
        <f>Data!I20</f>
        <v>40.506163499641971</v>
      </c>
      <c r="J20" s="11">
        <f>Data!J20</f>
        <v>2203</v>
      </c>
      <c r="K20">
        <f>Data!Y20</f>
        <v>23.5</v>
      </c>
      <c r="M20" s="2">
        <f t="shared" si="0"/>
        <v>14.706275033377835</v>
      </c>
      <c r="N20" s="3">
        <f>Data!L20</f>
        <v>0.67808138274989027</v>
      </c>
      <c r="P20">
        <f>Data!O20</f>
        <v>1274</v>
      </c>
      <c r="Q20" s="4">
        <f>Data!Q20</f>
        <v>29.939</v>
      </c>
      <c r="R20">
        <v>1139</v>
      </c>
      <c r="S20">
        <v>21.5</v>
      </c>
      <c r="T20" s="4">
        <f t="shared" si="1"/>
        <v>1.1185250219490781</v>
      </c>
      <c r="U20" s="5">
        <v>971</v>
      </c>
      <c r="V20" s="4">
        <f t="shared" si="4"/>
        <v>1.3120494335736355</v>
      </c>
      <c r="X20" s="5">
        <f>Data!W20</f>
        <v>1049</v>
      </c>
      <c r="Y20">
        <v>35.5</v>
      </c>
      <c r="Z20" s="4">
        <f t="shared" si="2"/>
        <v>1.2144899904671116</v>
      </c>
      <c r="AA20">
        <v>966</v>
      </c>
      <c r="AB20" s="4">
        <f t="shared" si="5"/>
        <v>1.318840579710145</v>
      </c>
      <c r="AD20">
        <v>894</v>
      </c>
      <c r="AE20" s="2">
        <v>39.700000000000003</v>
      </c>
      <c r="AF20" s="4">
        <f t="shared" si="6"/>
        <v>1.4250559284116331</v>
      </c>
      <c r="AG20">
        <v>831</v>
      </c>
      <c r="AH20" s="4">
        <f t="shared" si="3"/>
        <v>1.53309265944645</v>
      </c>
    </row>
    <row r="21" spans="1:34">
      <c r="A21" s="23" t="str">
        <f>Data!A21</f>
        <v>SE4</v>
      </c>
      <c r="B21" s="11">
        <f>Data!B21</f>
        <v>148.30000000000001</v>
      </c>
      <c r="C21" s="11">
        <f>Data!C21</f>
        <v>148.30000000000001</v>
      </c>
      <c r="D21" s="11">
        <f>Data!D21</f>
        <v>2.87</v>
      </c>
      <c r="E21" s="11">
        <f>Data!E21</f>
        <v>319.3</v>
      </c>
      <c r="F21" s="11">
        <f>Data!F21</f>
        <v>200</v>
      </c>
      <c r="G21" s="11">
        <f>Data!G21</f>
        <v>94.1</v>
      </c>
      <c r="H21" s="11">
        <f>Data!H21</f>
        <v>68.5</v>
      </c>
      <c r="I21" s="12">
        <f>Data!I21</f>
        <v>40.506163499641971</v>
      </c>
      <c r="J21" s="11">
        <f>Data!J21</f>
        <v>3101</v>
      </c>
      <c r="K21">
        <f>Data!Y21</f>
        <v>26</v>
      </c>
      <c r="M21" s="2">
        <f t="shared" si="0"/>
        <v>20.910316925151719</v>
      </c>
      <c r="N21" s="3">
        <f>Data!L21</f>
        <v>0.96507962822823001</v>
      </c>
      <c r="P21">
        <f>Data!O21</f>
        <v>941</v>
      </c>
      <c r="Q21" s="4">
        <f>Data!Q21</f>
        <v>24.466000000000001</v>
      </c>
      <c r="R21">
        <v>708</v>
      </c>
      <c r="S21">
        <v>18.5</v>
      </c>
      <c r="T21" s="4">
        <f t="shared" si="1"/>
        <v>1.3290960451977401</v>
      </c>
      <c r="U21" s="5">
        <v>674</v>
      </c>
      <c r="V21" s="4">
        <f t="shared" si="4"/>
        <v>1.3961424332344214</v>
      </c>
      <c r="X21" s="5">
        <f>Data!W21</f>
        <v>695</v>
      </c>
      <c r="Y21">
        <v>30.7</v>
      </c>
      <c r="Z21" s="4">
        <f t="shared" si="2"/>
        <v>1.353956834532374</v>
      </c>
      <c r="AA21">
        <v>667</v>
      </c>
      <c r="AB21" s="4">
        <f t="shared" si="5"/>
        <v>1.4107946026986506</v>
      </c>
      <c r="AD21">
        <v>549</v>
      </c>
      <c r="AE21" s="2">
        <v>33.4</v>
      </c>
      <c r="AF21" s="4">
        <f t="shared" si="6"/>
        <v>1.7140255009107468</v>
      </c>
      <c r="AG21">
        <v>531</v>
      </c>
      <c r="AH21" s="4">
        <f t="shared" si="3"/>
        <v>1.7721280602636535</v>
      </c>
    </row>
    <row r="22" spans="1:34">
      <c r="A22" s="23" t="str">
        <f>Data!A22</f>
        <v>SE5</v>
      </c>
      <c r="B22" s="11">
        <f>Data!B22</f>
        <v>152.1</v>
      </c>
      <c r="C22" s="11">
        <f>Data!C22</f>
        <v>152.1</v>
      </c>
      <c r="D22" s="11">
        <f>Data!D22</f>
        <v>4.82</v>
      </c>
      <c r="E22" s="11">
        <f>Data!E22</f>
        <v>316.60000000000002</v>
      </c>
      <c r="F22" s="11">
        <f>Data!F22</f>
        <v>200</v>
      </c>
      <c r="G22" s="11">
        <f>Data!G22</f>
        <v>94.1</v>
      </c>
      <c r="H22" s="11">
        <f>Data!H22</f>
        <v>68.5</v>
      </c>
      <c r="I22" s="12">
        <f>Data!I22</f>
        <v>40.506163499641971</v>
      </c>
      <c r="J22" s="11">
        <f>Data!J22</f>
        <v>1105</v>
      </c>
      <c r="K22">
        <f>Data!Y22</f>
        <v>41.5</v>
      </c>
      <c r="M22" s="2">
        <f t="shared" si="0"/>
        <v>7.2649572649572649</v>
      </c>
      <c r="N22" s="3">
        <f>Data!L22</f>
        <v>0.31307018776539841</v>
      </c>
      <c r="P22">
        <f>Data!O22</f>
        <v>1416</v>
      </c>
      <c r="Q22" s="4">
        <f>Data!Q22</f>
        <v>58.764000000000003</v>
      </c>
      <c r="R22">
        <v>1370</v>
      </c>
      <c r="S22">
        <v>56.9</v>
      </c>
      <c r="T22" s="4">
        <f t="shared" si="1"/>
        <v>1.0335766423357664</v>
      </c>
      <c r="U22" s="5">
        <v>1205</v>
      </c>
      <c r="V22" s="4">
        <f t="shared" si="4"/>
        <v>1.1751037344398341</v>
      </c>
      <c r="X22" s="5">
        <f>Data!W22</f>
        <v>1247</v>
      </c>
      <c r="Y22">
        <v>59</v>
      </c>
      <c r="Z22" s="4">
        <f t="shared" si="2"/>
        <v>1.1355252606255013</v>
      </c>
      <c r="AA22">
        <v>1152</v>
      </c>
      <c r="AB22" s="4">
        <f t="shared" si="5"/>
        <v>1.2291666666666667</v>
      </c>
      <c r="AD22">
        <v>1184</v>
      </c>
      <c r="AE22" s="2">
        <v>58.2</v>
      </c>
      <c r="AF22" s="4">
        <f t="shared" si="6"/>
        <v>1.1959459459459461</v>
      </c>
      <c r="AG22">
        <v>1097</v>
      </c>
      <c r="AH22" s="4">
        <f t="shared" si="3"/>
        <v>1.2907930720145853</v>
      </c>
    </row>
    <row r="23" spans="1:34">
      <c r="A23" s="23" t="str">
        <f>Data!A23</f>
        <v>SE6</v>
      </c>
      <c r="B23" s="11">
        <f>Data!B23</f>
        <v>150.6</v>
      </c>
      <c r="C23" s="11">
        <f>Data!C23</f>
        <v>150.6</v>
      </c>
      <c r="D23" s="11">
        <f>Data!D23</f>
        <v>4.88</v>
      </c>
      <c r="E23" s="11">
        <f>Data!E23</f>
        <v>316.60000000000002</v>
      </c>
      <c r="F23" s="11">
        <f>Data!F23</f>
        <v>200</v>
      </c>
      <c r="G23" s="11">
        <f>Data!G23</f>
        <v>94.1</v>
      </c>
      <c r="H23" s="11">
        <f>Data!H23</f>
        <v>68.5</v>
      </c>
      <c r="I23" s="12">
        <f>Data!I23</f>
        <v>40.506163499641971</v>
      </c>
      <c r="J23" s="11">
        <f>Data!J23</f>
        <v>1100</v>
      </c>
      <c r="K23">
        <f>Data!Y23</f>
        <v>21.1</v>
      </c>
      <c r="M23" s="2">
        <f t="shared" si="0"/>
        <v>7.3041168658698545</v>
      </c>
      <c r="N23" s="3">
        <f>Data!L23</f>
        <v>0.31382431602698724</v>
      </c>
      <c r="P23">
        <f>Data!O23</f>
        <v>1901</v>
      </c>
      <c r="Q23" s="4">
        <f>Data!Q23</f>
        <v>40.111100000000008</v>
      </c>
      <c r="R23">
        <v>1762</v>
      </c>
      <c r="S23">
        <v>37.200000000000003</v>
      </c>
      <c r="T23" s="4">
        <f t="shared" si="1"/>
        <v>1.0788876276958002</v>
      </c>
      <c r="U23" s="5">
        <v>1524</v>
      </c>
      <c r="V23" s="4">
        <f t="shared" si="4"/>
        <v>1.2473753280839894</v>
      </c>
      <c r="X23" s="5">
        <f>Data!W23</f>
        <v>1616</v>
      </c>
      <c r="Y23">
        <v>40.299999999999997</v>
      </c>
      <c r="Z23" s="4">
        <f t="shared" si="2"/>
        <v>1.176361386138614</v>
      </c>
      <c r="AA23">
        <v>1478</v>
      </c>
      <c r="AB23" s="4">
        <f t="shared" si="5"/>
        <v>1.2861975642760488</v>
      </c>
      <c r="AD23">
        <v>1534</v>
      </c>
      <c r="AE23" s="2">
        <v>42.5</v>
      </c>
      <c r="AF23" s="4">
        <f t="shared" si="6"/>
        <v>1.2392438070404173</v>
      </c>
      <c r="AG23">
        <v>1406</v>
      </c>
      <c r="AH23" s="4">
        <f t="shared" si="3"/>
        <v>1.3520625889046942</v>
      </c>
    </row>
    <row r="24" spans="1:34">
      <c r="A24" s="23" t="str">
        <f>Data!A24</f>
        <v>SE7</v>
      </c>
      <c r="B24" s="11">
        <f>Data!B24</f>
        <v>150.80000000000001</v>
      </c>
      <c r="C24" s="11">
        <f>Data!C24</f>
        <v>150.80000000000001</v>
      </c>
      <c r="D24" s="11">
        <f>Data!D24</f>
        <v>4.8600000000000003</v>
      </c>
      <c r="E24" s="11">
        <f>Data!E24</f>
        <v>316.60000000000002</v>
      </c>
      <c r="F24" s="11">
        <f>Data!F24</f>
        <v>200</v>
      </c>
      <c r="G24" s="11">
        <f>Data!G24</f>
        <v>94.1</v>
      </c>
      <c r="H24" s="11">
        <f>Data!H24</f>
        <v>68.5</v>
      </c>
      <c r="I24" s="12">
        <f>Data!I24</f>
        <v>40.506163499641971</v>
      </c>
      <c r="J24" s="11">
        <f>Data!J24</f>
        <v>2199</v>
      </c>
      <c r="K24">
        <f>Data!Y24</f>
        <v>21</v>
      </c>
      <c r="M24" s="2">
        <f t="shared" si="0"/>
        <v>14.582228116710874</v>
      </c>
      <c r="N24" s="3">
        <f>Data!L24</f>
        <v>0.62698434711607742</v>
      </c>
      <c r="P24">
        <f>Data!O24</f>
        <v>1519</v>
      </c>
      <c r="Q24" s="4">
        <f>Data!Q24</f>
        <v>31.899000000000001</v>
      </c>
      <c r="R24">
        <v>1414</v>
      </c>
      <c r="S24">
        <v>29.7</v>
      </c>
      <c r="T24" s="4">
        <f t="shared" si="1"/>
        <v>1.0742574257425743</v>
      </c>
      <c r="U24" s="5">
        <v>1268</v>
      </c>
      <c r="V24" s="4">
        <f t="shared" si="4"/>
        <v>1.1979495268138802</v>
      </c>
      <c r="X24" s="5">
        <f>Data!W24</f>
        <v>1381</v>
      </c>
      <c r="Y24">
        <v>41.8</v>
      </c>
      <c r="Z24" s="4">
        <f t="shared" si="2"/>
        <v>1.0999275887038378</v>
      </c>
      <c r="AA24">
        <v>1280</v>
      </c>
      <c r="AB24" s="4">
        <f t="shared" si="5"/>
        <v>1.18671875</v>
      </c>
      <c r="AD24">
        <v>1212</v>
      </c>
      <c r="AE24" s="2">
        <v>47.5</v>
      </c>
      <c r="AF24" s="4">
        <f t="shared" si="6"/>
        <v>1.2533003300330032</v>
      </c>
      <c r="AG24">
        <v>1130</v>
      </c>
      <c r="AH24" s="4">
        <f t="shared" si="3"/>
        <v>1.3442477876106194</v>
      </c>
    </row>
    <row r="25" spans="1:34">
      <c r="A25" s="23" t="str">
        <f>Data!A25</f>
        <v>SE8</v>
      </c>
      <c r="B25" s="11">
        <f>Data!B25</f>
        <v>150.4</v>
      </c>
      <c r="C25" s="11">
        <f>Data!C25</f>
        <v>150.4</v>
      </c>
      <c r="D25" s="11">
        <f>Data!D25</f>
        <v>4.8600000000000003</v>
      </c>
      <c r="E25" s="11">
        <f>Data!E25</f>
        <v>316.60000000000002</v>
      </c>
      <c r="F25" s="11">
        <f>Data!F25</f>
        <v>200</v>
      </c>
      <c r="G25" s="11">
        <f>Data!G25</f>
        <v>94.1</v>
      </c>
      <c r="H25" s="11">
        <f>Data!H25</f>
        <v>68.5</v>
      </c>
      <c r="I25" s="12">
        <f>Data!I25</f>
        <v>40.506163499641971</v>
      </c>
      <c r="J25" s="11">
        <f>Data!J25</f>
        <v>3100</v>
      </c>
      <c r="K25">
        <f>Data!Y25</f>
        <v>25.5</v>
      </c>
      <c r="M25" s="2">
        <f t="shared" si="0"/>
        <v>20.611702127659573</v>
      </c>
      <c r="N25" s="3">
        <f>Data!L25</f>
        <v>0.88591727760026107</v>
      </c>
      <c r="P25">
        <f>Data!O25</f>
        <v>1103</v>
      </c>
      <c r="Q25" s="4">
        <f>Data!Q25</f>
        <v>28.1265</v>
      </c>
      <c r="R25">
        <v>994</v>
      </c>
      <c r="S25">
        <v>25.5</v>
      </c>
      <c r="T25" s="4">
        <f t="shared" si="1"/>
        <v>1.1096579476861168</v>
      </c>
      <c r="U25" s="5">
        <v>945</v>
      </c>
      <c r="V25" s="4">
        <f t="shared" si="4"/>
        <v>1.1671957671957671</v>
      </c>
      <c r="X25" s="5">
        <f>Data!W25</f>
        <v>1014</v>
      </c>
      <c r="Y25">
        <v>41.1</v>
      </c>
      <c r="Z25" s="4">
        <f t="shared" si="2"/>
        <v>1.0877712031558184</v>
      </c>
      <c r="AA25">
        <v>972</v>
      </c>
      <c r="AB25" s="4">
        <f t="shared" si="5"/>
        <v>1.1347736625514404</v>
      </c>
      <c r="AD25">
        <v>837</v>
      </c>
      <c r="AE25" s="2">
        <v>46.6</v>
      </c>
      <c r="AF25" s="4">
        <f t="shared" si="6"/>
        <v>1.3178016726403823</v>
      </c>
      <c r="AG25">
        <v>807</v>
      </c>
      <c r="AH25" s="4">
        <f t="shared" si="3"/>
        <v>1.3667905824039652</v>
      </c>
    </row>
    <row r="26" spans="1:34">
      <c r="A26" s="23" t="str">
        <f>Data!A26</f>
        <v>RE1</v>
      </c>
      <c r="B26" s="11">
        <f>Data!B26</f>
        <v>135.69999999999999</v>
      </c>
      <c r="C26" s="11">
        <f>Data!C26</f>
        <v>176.2</v>
      </c>
      <c r="D26" s="11">
        <f>Data!D26</f>
        <v>2.91</v>
      </c>
      <c r="E26" s="11">
        <f>Data!E26</f>
        <v>319.3</v>
      </c>
      <c r="F26" s="11">
        <f>Data!F26</f>
        <v>200</v>
      </c>
      <c r="G26" s="11">
        <f>Data!G26</f>
        <v>94.1</v>
      </c>
      <c r="H26" s="11">
        <f>Data!H26</f>
        <v>68.5</v>
      </c>
      <c r="I26" s="12">
        <f>Data!I26</f>
        <v>40.506163499641971</v>
      </c>
      <c r="J26" s="11">
        <f>Data!J26</f>
        <v>988</v>
      </c>
      <c r="K26">
        <f>Data!Y26</f>
        <v>20.5</v>
      </c>
      <c r="M26" s="2">
        <f t="shared" si="0"/>
        <v>7.280766396462786</v>
      </c>
      <c r="N26" s="3">
        <f>Data!L26</f>
        <v>0.33179805940563517</v>
      </c>
      <c r="P26">
        <f>Data!O26</f>
        <v>1911</v>
      </c>
      <c r="Q26" s="4">
        <f>Data!Q26</f>
        <v>39.1755</v>
      </c>
      <c r="R26">
        <v>1722</v>
      </c>
      <c r="S26">
        <v>35.4</v>
      </c>
      <c r="T26" s="4">
        <f t="shared" si="1"/>
        <v>1.1097560975609757</v>
      </c>
      <c r="U26" s="5">
        <v>1444</v>
      </c>
      <c r="V26" s="4">
        <f t="shared" si="4"/>
        <v>1.3234072022160666</v>
      </c>
      <c r="X26" s="5">
        <f>Data!W26</f>
        <v>1551</v>
      </c>
      <c r="Y26">
        <v>37.200000000000003</v>
      </c>
      <c r="Z26" s="4">
        <f t="shared" si="2"/>
        <v>1.2321083172147003</v>
      </c>
      <c r="AA26">
        <v>1392</v>
      </c>
      <c r="AB26" s="4">
        <f t="shared" si="5"/>
        <v>1.3728448275862069</v>
      </c>
      <c r="AD26">
        <v>1483</v>
      </c>
      <c r="AE26" s="2">
        <v>38.700000000000003</v>
      </c>
      <c r="AF26" s="4">
        <f t="shared" si="6"/>
        <v>1.2886041807147675</v>
      </c>
      <c r="AG26">
        <v>1333</v>
      </c>
      <c r="AH26" s="4">
        <f t="shared" si="3"/>
        <v>1.4336084021005251</v>
      </c>
    </row>
    <row r="27" spans="1:34">
      <c r="A27" s="23" t="str">
        <f>Data!A27</f>
        <v>RE2</v>
      </c>
      <c r="B27" s="11">
        <f>Data!B27</f>
        <v>134.1</v>
      </c>
      <c r="C27" s="11">
        <f>Data!C27</f>
        <v>173.5</v>
      </c>
      <c r="D27" s="11">
        <f>Data!D27</f>
        <v>2.93</v>
      </c>
      <c r="E27" s="11">
        <f>Data!E27</f>
        <v>319.3</v>
      </c>
      <c r="F27" s="11">
        <f>Data!F27</f>
        <v>200</v>
      </c>
      <c r="G27" s="11">
        <f>Data!G27</f>
        <v>94.1</v>
      </c>
      <c r="H27" s="11">
        <f>Data!H27</f>
        <v>68.5</v>
      </c>
      <c r="I27" s="12">
        <f>Data!I27</f>
        <v>40.506163499641971</v>
      </c>
      <c r="J27" s="11">
        <f>Data!J27</f>
        <v>989</v>
      </c>
      <c r="K27">
        <f>Data!Y27</f>
        <v>41</v>
      </c>
      <c r="M27" s="2">
        <f t="shared" si="0"/>
        <v>7.3750932140193886</v>
      </c>
      <c r="N27" s="3">
        <f>Data!L27</f>
        <v>0.33520620816081681</v>
      </c>
      <c r="P27">
        <f>Data!O27</f>
        <v>1343</v>
      </c>
      <c r="Q27" s="4">
        <f>Data!Q27</f>
        <v>55.063000000000002</v>
      </c>
      <c r="R27">
        <v>1280</v>
      </c>
      <c r="S27">
        <v>52.6</v>
      </c>
      <c r="T27" s="4">
        <f t="shared" si="1"/>
        <v>1.0492187500000001</v>
      </c>
      <c r="U27" s="5">
        <v>1094</v>
      </c>
      <c r="V27" s="4">
        <f t="shared" si="4"/>
        <v>1.2276051188299817</v>
      </c>
      <c r="X27" s="5">
        <f>Data!W27</f>
        <v>1144</v>
      </c>
      <c r="Y27">
        <v>53.1</v>
      </c>
      <c r="Z27" s="4">
        <f t="shared" si="2"/>
        <v>1.173951048951049</v>
      </c>
      <c r="AA27">
        <v>1040</v>
      </c>
      <c r="AB27" s="4">
        <f t="shared" si="5"/>
        <v>1.2913461538461539</v>
      </c>
      <c r="AD27">
        <v>1130</v>
      </c>
      <c r="AE27" s="2">
        <v>51.8</v>
      </c>
      <c r="AF27" s="4">
        <f t="shared" si="6"/>
        <v>1.1884955752212389</v>
      </c>
      <c r="AG27">
        <v>995</v>
      </c>
      <c r="AH27" s="4">
        <f t="shared" si="3"/>
        <v>1.3497487437185929</v>
      </c>
    </row>
    <row r="28" spans="1:34">
      <c r="A28" s="23" t="str">
        <f>Data!A28</f>
        <v>RE3</v>
      </c>
      <c r="B28" s="11">
        <f>Data!B28</f>
        <v>134.80000000000001</v>
      </c>
      <c r="C28" s="11">
        <f>Data!C28</f>
        <v>174.9</v>
      </c>
      <c r="D28" s="11">
        <f>Data!D28</f>
        <v>2.93</v>
      </c>
      <c r="E28" s="11">
        <f>Data!E28</f>
        <v>319.3</v>
      </c>
      <c r="F28" s="11">
        <f>Data!F28</f>
        <v>200</v>
      </c>
      <c r="G28" s="11">
        <f>Data!G28</f>
        <v>94.1</v>
      </c>
      <c r="H28" s="11">
        <f>Data!H28</f>
        <v>68.5</v>
      </c>
      <c r="I28" s="12">
        <f>Data!I28</f>
        <v>40.506163499641971</v>
      </c>
      <c r="J28" s="11">
        <f>Data!J28</f>
        <v>988</v>
      </c>
      <c r="K28">
        <f>Data!Y28</f>
        <v>72</v>
      </c>
      <c r="M28" s="2">
        <f t="shared" si="0"/>
        <v>7.3293768545994062</v>
      </c>
      <c r="N28" s="3">
        <f>Data!L28</f>
        <v>0.33337701971088995</v>
      </c>
      <c r="P28">
        <f>Data!O28</f>
        <v>823</v>
      </c>
      <c r="Q28" s="4">
        <f>Data!Q28</f>
        <v>59.256</v>
      </c>
      <c r="R28">
        <v>856</v>
      </c>
      <c r="S28">
        <v>61.7</v>
      </c>
      <c r="T28" s="4">
        <f t="shared" si="1"/>
        <v>0.96144859813084116</v>
      </c>
      <c r="U28" s="5">
        <v>756</v>
      </c>
      <c r="V28" s="4">
        <f t="shared" si="4"/>
        <v>1.0886243386243386</v>
      </c>
      <c r="X28" s="5">
        <f>Data!W28</f>
        <v>774</v>
      </c>
      <c r="Y28">
        <v>60.7</v>
      </c>
      <c r="Z28" s="4">
        <f t="shared" si="2"/>
        <v>1.0633074935400517</v>
      </c>
      <c r="AA28">
        <v>719</v>
      </c>
      <c r="AB28" s="4">
        <f t="shared" si="5"/>
        <v>1.1446453407510431</v>
      </c>
      <c r="AD28">
        <v>742</v>
      </c>
      <c r="AE28" s="2">
        <v>58.2</v>
      </c>
      <c r="AF28" s="4">
        <f t="shared" si="6"/>
        <v>1.1091644204851752</v>
      </c>
      <c r="AG28">
        <v>690</v>
      </c>
      <c r="AH28" s="4">
        <f t="shared" si="3"/>
        <v>1.1927536231884057</v>
      </c>
    </row>
    <row r="29" spans="1:34">
      <c r="A29" s="23" t="str">
        <f>Data!A29</f>
        <v>RE4</v>
      </c>
      <c r="B29" s="11">
        <f>Data!B29</f>
        <v>136.4</v>
      </c>
      <c r="C29" s="11">
        <f>Data!C29</f>
        <v>174.6</v>
      </c>
      <c r="D29" s="11">
        <f>Data!D29</f>
        <v>2.89</v>
      </c>
      <c r="E29" s="11">
        <f>Data!E29</f>
        <v>319.3</v>
      </c>
      <c r="F29" s="11">
        <f>Data!F29</f>
        <v>200</v>
      </c>
      <c r="G29" s="11">
        <f>Data!G29</f>
        <v>94.1</v>
      </c>
      <c r="H29" s="11">
        <f>Data!H29</f>
        <v>68.5</v>
      </c>
      <c r="I29" s="12">
        <f>Data!I29</f>
        <v>40.506163499641971</v>
      </c>
      <c r="J29" s="11">
        <f>Data!J29</f>
        <v>1982</v>
      </c>
      <c r="K29">
        <f>Data!Y29</f>
        <v>21</v>
      </c>
      <c r="M29" s="2">
        <f t="shared" si="0"/>
        <v>14.530791788856304</v>
      </c>
      <c r="N29" s="3">
        <f>Data!L29</f>
        <v>0.66327543026075264</v>
      </c>
      <c r="P29">
        <f>Data!O29</f>
        <v>1588</v>
      </c>
      <c r="Q29" s="4">
        <f>Data!Q29</f>
        <v>33.347999999999999</v>
      </c>
      <c r="R29">
        <v>1420</v>
      </c>
      <c r="S29">
        <v>29.9</v>
      </c>
      <c r="T29" s="4">
        <f t="shared" si="1"/>
        <v>1.1183098591549296</v>
      </c>
      <c r="U29" s="5">
        <v>1227</v>
      </c>
      <c r="V29" s="4">
        <f t="shared" si="4"/>
        <v>1.2942135289323553</v>
      </c>
      <c r="X29" s="5">
        <f>Data!W29</f>
        <v>1278</v>
      </c>
      <c r="Y29">
        <v>37.4</v>
      </c>
      <c r="Z29" s="4">
        <f t="shared" si="2"/>
        <v>1.2425665101721439</v>
      </c>
      <c r="AA29">
        <v>1169</v>
      </c>
      <c r="AB29" s="4">
        <f t="shared" si="5"/>
        <v>1.358426005132592</v>
      </c>
      <c r="AD29">
        <v>1139</v>
      </c>
      <c r="AE29" s="2">
        <v>41.6</v>
      </c>
      <c r="AF29" s="4">
        <f t="shared" si="6"/>
        <v>1.3942054433713784</v>
      </c>
      <c r="AG29">
        <v>1046</v>
      </c>
      <c r="AH29" s="4">
        <f t="shared" si="3"/>
        <v>1.5181644359464628</v>
      </c>
    </row>
    <row r="30" spans="1:34">
      <c r="A30" s="23" t="str">
        <f>Data!A30</f>
        <v>RE5</v>
      </c>
      <c r="B30" s="11">
        <f>Data!B30</f>
        <v>137.19999999999999</v>
      </c>
      <c r="C30" s="11">
        <f>Data!C30</f>
        <v>176.2</v>
      </c>
      <c r="D30" s="11">
        <f>Data!D30</f>
        <v>4.82</v>
      </c>
      <c r="E30" s="11">
        <f>Data!E30</f>
        <v>316.60000000000002</v>
      </c>
      <c r="F30" s="11">
        <f>Data!F30</f>
        <v>200</v>
      </c>
      <c r="G30" s="11">
        <f>Data!G30</f>
        <v>94.1</v>
      </c>
      <c r="H30" s="11">
        <f>Data!H30</f>
        <v>68.5</v>
      </c>
      <c r="I30" s="12">
        <f>Data!I30</f>
        <v>40.506163499641971</v>
      </c>
      <c r="J30" s="11">
        <f>Data!J30</f>
        <v>990</v>
      </c>
      <c r="K30">
        <f>Data!Y30</f>
        <v>20</v>
      </c>
      <c r="M30" s="2">
        <f t="shared" si="0"/>
        <v>7.2157434402332363</v>
      </c>
      <c r="N30" s="3">
        <f>Data!L30</f>
        <v>0.3062463971650255</v>
      </c>
      <c r="P30">
        <f>Data!O30</f>
        <v>2058</v>
      </c>
      <c r="Q30" s="4">
        <f>Data!Q30</f>
        <v>41.16</v>
      </c>
      <c r="R30">
        <v>1981</v>
      </c>
      <c r="S30">
        <v>39.6</v>
      </c>
      <c r="T30" s="4">
        <f t="shared" si="1"/>
        <v>1.0388692579505301</v>
      </c>
      <c r="U30" s="5">
        <v>1706</v>
      </c>
      <c r="V30" s="4">
        <f t="shared" si="4"/>
        <v>1.2063305978898007</v>
      </c>
      <c r="X30" s="5">
        <f>Data!W30</f>
        <v>1818</v>
      </c>
      <c r="Y30">
        <v>41.5</v>
      </c>
      <c r="Z30" s="4">
        <f t="shared" si="2"/>
        <v>1.1320132013201321</v>
      </c>
      <c r="AA30">
        <v>1660</v>
      </c>
      <c r="AB30" s="4">
        <f t="shared" si="5"/>
        <v>1.2397590361445783</v>
      </c>
      <c r="AD30">
        <v>1747</v>
      </c>
      <c r="AE30" s="2">
        <v>44</v>
      </c>
      <c r="AF30" s="4">
        <f t="shared" si="6"/>
        <v>1.1780194619347453</v>
      </c>
      <c r="AG30">
        <v>1598</v>
      </c>
      <c r="AH30" s="4">
        <f t="shared" si="3"/>
        <v>1.2878598247809763</v>
      </c>
    </row>
    <row r="31" spans="1:34">
      <c r="A31" s="23" t="str">
        <f>Data!A31</f>
        <v>RE6</v>
      </c>
      <c r="B31" s="11">
        <f>Data!B31</f>
        <v>137.19999999999999</v>
      </c>
      <c r="C31" s="11">
        <f>Data!C31</f>
        <v>175.1</v>
      </c>
      <c r="D31" s="11">
        <f>Data!D31</f>
        <v>4.83</v>
      </c>
      <c r="E31" s="11">
        <f>Data!E31</f>
        <v>316.60000000000002</v>
      </c>
      <c r="F31" s="11">
        <f>Data!F31</f>
        <v>200</v>
      </c>
      <c r="G31" s="11">
        <f>Data!G31</f>
        <v>94.1</v>
      </c>
      <c r="H31" s="11">
        <f>Data!H31</f>
        <v>68.5</v>
      </c>
      <c r="I31" s="12">
        <f>Data!I31</f>
        <v>40.506163499641971</v>
      </c>
      <c r="J31" s="11">
        <f>Data!J31</f>
        <v>1980</v>
      </c>
      <c r="K31">
        <f>Data!Y31</f>
        <v>22</v>
      </c>
      <c r="M31" s="2">
        <f t="shared" si="0"/>
        <v>14.431486880466473</v>
      </c>
      <c r="N31" s="3">
        <f>Data!L31</f>
        <v>0.61234096380483105</v>
      </c>
      <c r="P31">
        <f>Data!O31</f>
        <v>1813</v>
      </c>
      <c r="Q31" s="4">
        <f>Data!Q31</f>
        <v>39.886000000000003</v>
      </c>
      <c r="R31">
        <v>1661</v>
      </c>
      <c r="S31">
        <v>36.700000000000003</v>
      </c>
      <c r="T31" s="4">
        <f t="shared" si="1"/>
        <v>1.0915111378687539</v>
      </c>
      <c r="U31" s="5">
        <v>1465</v>
      </c>
      <c r="V31" s="4">
        <f t="shared" si="4"/>
        <v>1.237542662116041</v>
      </c>
      <c r="X31" s="5">
        <f>Data!W31</f>
        <v>1538</v>
      </c>
      <c r="Y31">
        <v>45.1</v>
      </c>
      <c r="Z31" s="4">
        <f t="shared" si="2"/>
        <v>1.1788036410923277</v>
      </c>
      <c r="AA31">
        <v>1422</v>
      </c>
      <c r="AB31" s="4">
        <f t="shared" si="5"/>
        <v>1.2749648382559775</v>
      </c>
      <c r="AD31">
        <v>1397</v>
      </c>
      <c r="AE31" s="2">
        <v>50.9</v>
      </c>
      <c r="AF31" s="4">
        <f t="shared" si="6"/>
        <v>1.2977809591982821</v>
      </c>
      <c r="AG31">
        <v>1295</v>
      </c>
      <c r="AH31" s="4">
        <f t="shared" si="3"/>
        <v>1.4</v>
      </c>
    </row>
    <row r="32" spans="1:34">
      <c r="A32" s="23" t="str">
        <f>Data!A32</f>
        <v>RE7</v>
      </c>
      <c r="B32" s="11">
        <f>Data!B32</f>
        <v>125</v>
      </c>
      <c r="C32" s="11">
        <f>Data!C32</f>
        <v>200.5</v>
      </c>
      <c r="D32" s="11">
        <f>Data!D32</f>
        <v>2.92</v>
      </c>
      <c r="E32" s="11">
        <f>Data!E32</f>
        <v>319.3</v>
      </c>
      <c r="F32" s="11">
        <f>Data!F32</f>
        <v>200</v>
      </c>
      <c r="G32" s="11">
        <f>Data!G32</f>
        <v>94.1</v>
      </c>
      <c r="H32" s="11">
        <f>Data!H32</f>
        <v>68.5</v>
      </c>
      <c r="I32" s="12">
        <f>Data!I32</f>
        <v>40.506163499641971</v>
      </c>
      <c r="J32" s="11">
        <f>Data!J32</f>
        <v>919</v>
      </c>
      <c r="K32">
        <f>Data!Y32</f>
        <v>41</v>
      </c>
      <c r="M32" s="2">
        <f t="shared" si="0"/>
        <v>7.3520000000000003</v>
      </c>
      <c r="N32" s="3">
        <f>Data!L32</f>
        <v>0.33120569391179372</v>
      </c>
      <c r="P32">
        <f>Data!O32</f>
        <v>1529</v>
      </c>
      <c r="Q32" s="4">
        <f>Data!Q32</f>
        <v>62.689</v>
      </c>
      <c r="R32">
        <v>1484</v>
      </c>
      <c r="S32">
        <v>61</v>
      </c>
      <c r="T32" s="4">
        <f t="shared" si="1"/>
        <v>1.0303234501347709</v>
      </c>
      <c r="U32" s="5">
        <v>1259</v>
      </c>
      <c r="V32" s="4">
        <f t="shared" si="4"/>
        <v>1.2144559173947578</v>
      </c>
      <c r="X32" s="5">
        <f>Data!W32</f>
        <v>1330</v>
      </c>
      <c r="Y32">
        <v>60.7</v>
      </c>
      <c r="Z32" s="4">
        <f t="shared" si="2"/>
        <v>1.149624060150376</v>
      </c>
      <c r="AA32">
        <v>1201</v>
      </c>
      <c r="AB32" s="4">
        <f t="shared" si="5"/>
        <v>1.2731057452123231</v>
      </c>
      <c r="AD32">
        <v>1279</v>
      </c>
      <c r="AE32" s="2">
        <v>59.2</v>
      </c>
      <c r="AF32" s="4">
        <f t="shared" si="6"/>
        <v>1.1954652071931196</v>
      </c>
      <c r="AG32">
        <v>1159</v>
      </c>
      <c r="AH32" s="4">
        <f t="shared" si="3"/>
        <v>1.3192407247627265</v>
      </c>
    </row>
    <row r="33" spans="1:34">
      <c r="A33" s="23" t="str">
        <f>Data!A33</f>
        <v>RE8</v>
      </c>
      <c r="B33" s="11">
        <f>Data!B33</f>
        <v>125.1</v>
      </c>
      <c r="C33" s="11">
        <f>Data!C33</f>
        <v>201.4</v>
      </c>
      <c r="D33" s="11">
        <f>Data!D33</f>
        <v>2.9</v>
      </c>
      <c r="E33" s="11">
        <f>Data!E33</f>
        <v>319.3</v>
      </c>
      <c r="F33" s="11">
        <f>Data!F33</f>
        <v>200</v>
      </c>
      <c r="G33" s="11">
        <f>Data!G33</f>
        <v>94.1</v>
      </c>
      <c r="H33" s="11">
        <f>Data!H33</f>
        <v>68.5</v>
      </c>
      <c r="I33" s="12">
        <f>Data!I33</f>
        <v>40.506163499641971</v>
      </c>
      <c r="J33" s="11">
        <f>Data!J33</f>
        <v>1831</v>
      </c>
      <c r="K33">
        <f>Data!Y33</f>
        <v>38</v>
      </c>
      <c r="M33" s="2">
        <f t="shared" si="0"/>
        <v>14.63629096722622</v>
      </c>
      <c r="N33" s="3">
        <f>Data!L33</f>
        <v>0.66010240020166244</v>
      </c>
      <c r="P33">
        <f>Data!O33</f>
        <v>1548</v>
      </c>
      <c r="Q33" s="4">
        <f>Data!Q33</f>
        <v>58.823999999999998</v>
      </c>
      <c r="R33">
        <v>1309</v>
      </c>
      <c r="S33">
        <v>49.9</v>
      </c>
      <c r="T33" s="4">
        <f t="shared" si="1"/>
        <v>1.1825821237585943</v>
      </c>
      <c r="U33" s="5">
        <v>1143</v>
      </c>
      <c r="V33" s="4">
        <f t="shared" si="4"/>
        <v>1.3543307086614174</v>
      </c>
      <c r="X33" s="5">
        <f>Data!W33</f>
        <v>1147</v>
      </c>
      <c r="Y33">
        <v>54.7</v>
      </c>
      <c r="Z33" s="4">
        <f t="shared" si="2"/>
        <v>1.3496076721883175</v>
      </c>
      <c r="AA33">
        <v>1057</v>
      </c>
      <c r="AB33" s="4">
        <f t="shared" si="5"/>
        <v>1.4645222327341532</v>
      </c>
      <c r="AD33">
        <v>1052</v>
      </c>
      <c r="AE33" s="2">
        <v>55.6</v>
      </c>
      <c r="AF33" s="4">
        <f t="shared" si="6"/>
        <v>1.4714828897338403</v>
      </c>
      <c r="AG33">
        <v>972</v>
      </c>
      <c r="AH33" s="4">
        <f t="shared" si="3"/>
        <v>1.5925925925925926</v>
      </c>
    </row>
    <row r="34" spans="1:34">
      <c r="B34" s="11"/>
      <c r="C34" s="11"/>
      <c r="D34" s="11"/>
      <c r="E34" s="11"/>
      <c r="F34" s="11"/>
      <c r="G34" s="11"/>
      <c r="H34" s="11"/>
      <c r="I34" s="12"/>
      <c r="J34" s="11"/>
      <c r="S34" s="13" t="s">
        <v>147</v>
      </c>
      <c r="T34" s="14">
        <f>AVERAGE(T8:T33)</f>
        <v>1.1152753230318444</v>
      </c>
      <c r="U34" s="16">
        <f>COUNTIF(V8:V33,"&gt;0.001")</f>
        <v>26</v>
      </c>
      <c r="V34" s="14">
        <f>AVERAGE(V8:V33)</f>
        <v>1.2823018674243758</v>
      </c>
      <c r="Y34" s="13" t="s">
        <v>147</v>
      </c>
      <c r="Z34" s="14">
        <f>AVERAGE(Z8:Z33)</f>
        <v>1.2048343113571898</v>
      </c>
      <c r="AA34" s="16">
        <f>COUNTIF(AB8:AB33,"&gt;0.001")</f>
        <v>26</v>
      </c>
      <c r="AB34" s="4">
        <f>AVERAGE(AB8:AB33)</f>
        <v>1.3150563559500748</v>
      </c>
      <c r="AE34" s="13" t="s">
        <v>147</v>
      </c>
      <c r="AF34" s="14">
        <f>AVERAGE(AF8:AF33)</f>
        <v>1.3420268974414635</v>
      </c>
      <c r="AG34" s="19">
        <v>26</v>
      </c>
      <c r="AH34" s="4">
        <f>AVERAGE(AH8:AH33)</f>
        <v>1.4595820401054285</v>
      </c>
    </row>
    <row r="35" spans="1:34">
      <c r="S35" t="s">
        <v>148</v>
      </c>
      <c r="T35" s="3">
        <f>STDEV(T8:T33)</f>
        <v>8.2162699711929854E-2</v>
      </c>
      <c r="U35" s="3"/>
      <c r="V35" s="3">
        <f>STDEV(V8:V33)</f>
        <v>9.5415934244382064E-2</v>
      </c>
      <c r="Y35" t="s">
        <v>148</v>
      </c>
      <c r="Z35" s="3">
        <f>STDEV(Z8:Z33)</f>
        <v>8.3891788139305895E-2</v>
      </c>
      <c r="AB35" s="3">
        <f>STDEV(AB8:AB33)</f>
        <v>0.10016418687133907</v>
      </c>
      <c r="AE35" t="s">
        <v>148</v>
      </c>
      <c r="AF35" s="3">
        <f>STDEV(AF8:AF33)</f>
        <v>0.15530668552735877</v>
      </c>
      <c r="AG35" s="3"/>
      <c r="AH35" s="3">
        <f>STDEV(AH8:AH33)</f>
        <v>0.15554572192718638</v>
      </c>
    </row>
    <row r="36" spans="1:34">
      <c r="A36" s="21" t="s">
        <v>93</v>
      </c>
      <c r="B36" s="21">
        <v>2006</v>
      </c>
      <c r="C36" s="23" t="s">
        <v>94</v>
      </c>
      <c r="G36" s="23" t="s">
        <v>65</v>
      </c>
      <c r="T36" s="3"/>
      <c r="U36" s="5"/>
      <c r="V36" s="3"/>
      <c r="Z36" s="3"/>
      <c r="AE36" s="2"/>
      <c r="AF36" s="4"/>
      <c r="AH36" s="4"/>
    </row>
    <row r="37" spans="1:34">
      <c r="A37" s="23" t="str">
        <f>Data!A36</f>
        <v>R-K3-2</v>
      </c>
      <c r="B37" s="11">
        <f>Data!B36</f>
        <v>100.5</v>
      </c>
      <c r="C37" s="11">
        <f>Data!C36</f>
        <v>200.7</v>
      </c>
      <c r="D37" s="11">
        <f>Data!D36</f>
        <v>3.62</v>
      </c>
      <c r="E37" s="11">
        <f>Data!E36</f>
        <v>283.60000000000002</v>
      </c>
      <c r="F37" s="11">
        <f>Data!F36</f>
        <v>200</v>
      </c>
      <c r="G37" s="11">
        <f>Data!G36</f>
        <v>55</v>
      </c>
      <c r="H37" s="11">
        <f>Data!H36</f>
        <v>41.8</v>
      </c>
      <c r="I37" s="12">
        <f>Data!I36</f>
        <v>35.611599757480469</v>
      </c>
      <c r="J37" s="11">
        <f>Data!J36</f>
        <v>1800</v>
      </c>
      <c r="K37">
        <f>Data!Y36</f>
        <v>40</v>
      </c>
      <c r="M37" s="2">
        <f>J37/B37</f>
        <v>17.910447761194028</v>
      </c>
      <c r="N37" s="3">
        <f>Data!L36</f>
        <v>0.64860245694050633</v>
      </c>
      <c r="P37">
        <f>Data!O36</f>
        <v>1002.3</v>
      </c>
      <c r="Q37" s="4">
        <f>Data!Q36</f>
        <v>40.091999999999999</v>
      </c>
      <c r="R37">
        <v>844</v>
      </c>
      <c r="S37">
        <v>33.799999999999997</v>
      </c>
      <c r="T37" s="4">
        <f>P37/R37</f>
        <v>1.1875592417061611</v>
      </c>
      <c r="U37" s="5"/>
      <c r="V37" s="4"/>
      <c r="X37">
        <v>756</v>
      </c>
      <c r="Y37">
        <v>34.4</v>
      </c>
      <c r="Z37" s="4">
        <f>P37/X37</f>
        <v>1.3257936507936507</v>
      </c>
      <c r="AD37">
        <v>707</v>
      </c>
      <c r="AE37" s="2">
        <v>37</v>
      </c>
      <c r="AF37" s="4">
        <f t="shared" si="6"/>
        <v>1.4176803394625177</v>
      </c>
      <c r="AH37" s="4"/>
    </row>
    <row r="38" spans="1:34">
      <c r="A38" s="23" t="str">
        <f>Data!A37</f>
        <v>R-K3-5</v>
      </c>
      <c r="B38" s="11">
        <f>Data!B37</f>
        <v>99.4</v>
      </c>
      <c r="C38" s="11">
        <f>Data!C37</f>
        <v>200.4</v>
      </c>
      <c r="D38" s="11">
        <f>Data!D37</f>
        <v>3.64</v>
      </c>
      <c r="E38" s="11">
        <f>Data!E37</f>
        <v>283.60000000000002</v>
      </c>
      <c r="F38" s="11">
        <f>Data!F37</f>
        <v>200</v>
      </c>
      <c r="G38" s="11">
        <f>Data!G37</f>
        <v>55</v>
      </c>
      <c r="H38" s="11">
        <f>Data!H37</f>
        <v>41.8</v>
      </c>
      <c r="I38" s="12">
        <f>Data!I37</f>
        <v>35.611599757480469</v>
      </c>
      <c r="J38" s="11">
        <f>Data!J37</f>
        <v>1800</v>
      </c>
      <c r="K38">
        <f>Data!Y37</f>
        <v>0</v>
      </c>
      <c r="L38">
        <f>Data!Z37</f>
        <v>30</v>
      </c>
      <c r="M38" s="2">
        <f>J38/B38</f>
        <v>18.108651911468812</v>
      </c>
      <c r="N38" s="3">
        <f>Data!L37</f>
        <v>0.65444032101402072</v>
      </c>
      <c r="P38">
        <f>Data!O37</f>
        <v>655.20000000000005</v>
      </c>
      <c r="Q38" s="4">
        <f>Data!Q37</f>
        <v>19.655999999999999</v>
      </c>
      <c r="R38">
        <v>590</v>
      </c>
      <c r="S38">
        <v>17.7</v>
      </c>
      <c r="T38" s="4">
        <f t="shared" ref="T38:T56" si="7">P38/R38</f>
        <v>1.1105084745762712</v>
      </c>
      <c r="U38" s="5"/>
      <c r="V38" s="4"/>
      <c r="X38">
        <v>606</v>
      </c>
      <c r="Y38">
        <v>23.6</v>
      </c>
      <c r="Z38" s="4">
        <f t="shared" ref="Z38:Z56" si="8">P38/X38</f>
        <v>1.0811881188118813</v>
      </c>
      <c r="AD38">
        <v>536</v>
      </c>
      <c r="AE38" s="2">
        <v>25.1</v>
      </c>
      <c r="AF38" s="4">
        <f t="shared" si="6"/>
        <v>1.2223880597014927</v>
      </c>
      <c r="AH38" s="4"/>
    </row>
    <row r="39" spans="1:34">
      <c r="A39" s="23" t="str">
        <f>Data!A38</f>
        <v>S-K2-1</v>
      </c>
      <c r="B39" s="11">
        <f>Data!B38</f>
        <v>149</v>
      </c>
      <c r="C39" s="11">
        <f>Data!C38</f>
        <v>149</v>
      </c>
      <c r="D39" s="11">
        <f>Data!D38</f>
        <v>3.64</v>
      </c>
      <c r="E39" s="11">
        <f>Data!E38</f>
        <v>283.60000000000002</v>
      </c>
      <c r="F39" s="11">
        <f>Data!F38</f>
        <v>200</v>
      </c>
      <c r="G39" s="11">
        <f>Data!G38</f>
        <v>55</v>
      </c>
      <c r="H39" s="11">
        <f>Data!H38</f>
        <v>41.8</v>
      </c>
      <c r="I39" s="12">
        <f>Data!I38</f>
        <v>35.611599757480469</v>
      </c>
      <c r="J39" s="11">
        <f>Data!J38</f>
        <v>450</v>
      </c>
      <c r="K39">
        <f>Data!Y38</f>
        <v>30</v>
      </c>
      <c r="M39" s="2">
        <f>J39/B39</f>
        <v>3.0201342281879193</v>
      </c>
      <c r="N39" s="3">
        <f>Data!L38</f>
        <v>0.11561814100716455</v>
      </c>
      <c r="P39">
        <f>Data!O38</f>
        <v>1081.9000000000001</v>
      </c>
      <c r="Q39" s="4">
        <f>Data!Q38</f>
        <v>32.457000000000001</v>
      </c>
      <c r="R39">
        <v>972</v>
      </c>
      <c r="S39">
        <v>29.5</v>
      </c>
      <c r="T39" s="4">
        <f t="shared" si="7"/>
        <v>1.1130658436213994</v>
      </c>
      <c r="U39" s="5"/>
      <c r="V39" s="4"/>
      <c r="X39">
        <v>966</v>
      </c>
      <c r="Y39">
        <v>29.5</v>
      </c>
      <c r="Z39" s="4">
        <f t="shared" si="8"/>
        <v>1.1199792960662527</v>
      </c>
      <c r="AD39">
        <v>948</v>
      </c>
      <c r="AE39" s="2">
        <v>30.3</v>
      </c>
      <c r="AF39" s="4">
        <f t="shared" si="6"/>
        <v>1.1412447257383966</v>
      </c>
      <c r="AH39" s="4"/>
    </row>
    <row r="40" spans="1:34">
      <c r="A40" s="23" t="str">
        <f>Data!A39</f>
        <v>R-K1-2</v>
      </c>
      <c r="B40" s="11">
        <f>Data!B39</f>
        <v>99.3</v>
      </c>
      <c r="C40" s="11">
        <f>Data!C39</f>
        <v>148.9</v>
      </c>
      <c r="D40" s="11">
        <f>Data!D39</f>
        <v>3.63</v>
      </c>
      <c r="E40" s="11">
        <f>Data!E39</f>
        <v>283.60000000000002</v>
      </c>
      <c r="F40" s="11">
        <f>Data!F39</f>
        <v>200</v>
      </c>
      <c r="G40" s="11">
        <f>Data!G39</f>
        <v>55</v>
      </c>
      <c r="H40" s="11">
        <f>Data!H39</f>
        <v>41.8</v>
      </c>
      <c r="I40" s="12">
        <f>Data!I39</f>
        <v>35.611599757480469</v>
      </c>
      <c r="J40" s="11">
        <f>Data!J39</f>
        <v>450</v>
      </c>
      <c r="K40">
        <f>Data!Y39</f>
        <v>30</v>
      </c>
      <c r="M40" s="2">
        <f>J40/B40</f>
        <v>4.5317220543806647</v>
      </c>
      <c r="N40" s="3">
        <f>Data!L39</f>
        <v>0.16485262439008871</v>
      </c>
      <c r="P40">
        <f>Data!O39</f>
        <v>856.5</v>
      </c>
      <c r="Q40" s="4">
        <f>Data!Q39</f>
        <v>25.695</v>
      </c>
      <c r="R40">
        <v>700</v>
      </c>
      <c r="S40">
        <v>21</v>
      </c>
      <c r="T40" s="4">
        <f t="shared" si="7"/>
        <v>1.2235714285714285</v>
      </c>
      <c r="U40" s="5"/>
      <c r="V40" s="4"/>
      <c r="X40">
        <v>695</v>
      </c>
      <c r="Y40">
        <v>21.3</v>
      </c>
      <c r="Z40" s="4">
        <f t="shared" si="8"/>
        <v>1.2323741007194244</v>
      </c>
      <c r="AD40">
        <v>682</v>
      </c>
      <c r="AE40" s="2">
        <v>21.9</v>
      </c>
      <c r="AF40" s="4">
        <f t="shared" si="6"/>
        <v>1.2558651026392962</v>
      </c>
      <c r="AH40" s="4"/>
    </row>
    <row r="41" spans="1:34">
      <c r="A41" s="23" t="str">
        <f>Data!A40</f>
        <v>R-K2-2</v>
      </c>
      <c r="B41" s="11">
        <f>Data!B40</f>
        <v>99.1</v>
      </c>
      <c r="C41" s="11">
        <f>Data!C40</f>
        <v>200</v>
      </c>
      <c r="D41" s="11">
        <f>Data!D40</f>
        <v>3.66</v>
      </c>
      <c r="E41" s="11">
        <f>Data!E40</f>
        <v>283.60000000000002</v>
      </c>
      <c r="F41" s="11">
        <f>Data!F40</f>
        <v>200</v>
      </c>
      <c r="G41" s="11">
        <f>Data!G40</f>
        <v>55</v>
      </c>
      <c r="H41" s="11">
        <f>Data!H40</f>
        <v>41.8</v>
      </c>
      <c r="I41" s="12">
        <f>Data!I40</f>
        <v>35.611599757480469</v>
      </c>
      <c r="J41" s="11">
        <f>Data!J40</f>
        <v>600</v>
      </c>
      <c r="K41">
        <f>Data!Y40</f>
        <v>40</v>
      </c>
      <c r="M41" s="2">
        <f>J41/B41</f>
        <v>6.0544904137235118</v>
      </c>
      <c r="N41" s="3">
        <f>Data!L40</f>
        <v>0.21859377325569035</v>
      </c>
      <c r="P41">
        <f>Data!O40</f>
        <v>1036.8</v>
      </c>
      <c r="Q41" s="4">
        <f>Data!Q40</f>
        <v>41.472000000000001</v>
      </c>
      <c r="R41">
        <v>896</v>
      </c>
      <c r="S41">
        <v>35.799999999999997</v>
      </c>
      <c r="T41" s="4">
        <f t="shared" si="7"/>
        <v>1.157142857142857</v>
      </c>
      <c r="U41" s="5"/>
      <c r="V41" s="4"/>
      <c r="X41">
        <v>887</v>
      </c>
      <c r="Y41">
        <v>36.1</v>
      </c>
      <c r="Z41" s="4">
        <f t="shared" si="8"/>
        <v>1.1688838782412627</v>
      </c>
      <c r="AD41">
        <v>869</v>
      </c>
      <c r="AE41" s="2">
        <v>37.200000000000003</v>
      </c>
      <c r="AF41" s="4">
        <f t="shared" si="6"/>
        <v>1.1930955120828537</v>
      </c>
      <c r="AH41" s="4"/>
    </row>
    <row r="42" spans="1:34">
      <c r="S42" s="13" t="s">
        <v>149</v>
      </c>
      <c r="T42" s="14">
        <f>AVERAGE(T37:T41)</f>
        <v>1.1583695691236233</v>
      </c>
      <c r="U42" s="16"/>
      <c r="V42" s="14"/>
      <c r="Y42" s="13" t="s">
        <v>149</v>
      </c>
      <c r="Z42" s="14">
        <f>AVERAGE(Z37:Z41)</f>
        <v>1.1856438089264945</v>
      </c>
      <c r="AE42" s="13" t="s">
        <v>149</v>
      </c>
      <c r="AF42" s="4">
        <f>AVERAGE(AF37:AF41)</f>
        <v>1.2460547479249116</v>
      </c>
      <c r="AH42" s="4"/>
    </row>
    <row r="43" spans="1:34">
      <c r="S43" t="s">
        <v>148</v>
      </c>
      <c r="T43" s="3">
        <f>STDEV(T37:T41)</f>
        <v>4.8600247424427513E-2</v>
      </c>
      <c r="U43" s="5"/>
      <c r="V43" s="3"/>
      <c r="Y43" t="s">
        <v>148</v>
      </c>
      <c r="Z43" s="3">
        <f>STDEV(Z37:Z41)</f>
        <v>9.6604105851547564E-2</v>
      </c>
      <c r="AE43" t="s">
        <v>148</v>
      </c>
      <c r="AF43" s="3">
        <f>STDEV(AF37:AF41)</f>
        <v>0.10476344815038335</v>
      </c>
      <c r="AH43" s="4"/>
    </row>
    <row r="44" spans="1:34">
      <c r="A44" s="21" t="s">
        <v>102</v>
      </c>
      <c r="B44" s="21">
        <v>2004</v>
      </c>
      <c r="C44" s="23" t="s">
        <v>103</v>
      </c>
      <c r="G44" s="23" t="s">
        <v>104</v>
      </c>
      <c r="H44" s="23" t="s">
        <v>105</v>
      </c>
      <c r="T44" s="4"/>
      <c r="U44" s="5"/>
      <c r="V44" s="4"/>
      <c r="Z44" s="4"/>
      <c r="AE44" s="2"/>
      <c r="AF44" s="4"/>
      <c r="AH44" s="4"/>
    </row>
    <row r="45" spans="1:34">
      <c r="A45" s="23" t="str">
        <f>Data!A43</f>
        <v>E01</v>
      </c>
      <c r="B45" s="11">
        <f>Data!B43</f>
        <v>150</v>
      </c>
      <c r="C45" s="11">
        <f>Data!C43</f>
        <v>150</v>
      </c>
      <c r="D45" s="11">
        <f>Data!D43</f>
        <v>4.18</v>
      </c>
      <c r="E45" s="11">
        <f>Data!E43</f>
        <v>550</v>
      </c>
      <c r="F45" s="11">
        <f>Data!F43</f>
        <v>200</v>
      </c>
      <c r="G45" s="11">
        <f>Data!G43</f>
        <v>70.8</v>
      </c>
      <c r="H45" s="11">
        <f>Data!H43</f>
        <v>56.64</v>
      </c>
      <c r="I45" s="12">
        <f>Data!I43</f>
        <v>38.509961563077916</v>
      </c>
      <c r="J45" s="11">
        <f>Data!J43</f>
        <v>870</v>
      </c>
      <c r="K45">
        <f>Data!Y43</f>
        <v>30</v>
      </c>
      <c r="M45" s="2">
        <f>J45/B45</f>
        <v>5.8</v>
      </c>
      <c r="N45" s="3">
        <f>Data!L43</f>
        <v>0.27542075287035334</v>
      </c>
      <c r="P45">
        <f>Data!O43</f>
        <v>1678</v>
      </c>
      <c r="Q45" s="4">
        <f>Data!Q43</f>
        <v>50.34</v>
      </c>
      <c r="R45">
        <v>1605</v>
      </c>
      <c r="S45">
        <v>48.2</v>
      </c>
      <c r="T45" s="4">
        <f t="shared" si="7"/>
        <v>1.0454828660436137</v>
      </c>
      <c r="U45" s="5"/>
      <c r="V45" s="4"/>
      <c r="X45">
        <v>1560</v>
      </c>
      <c r="Y45">
        <v>50.4</v>
      </c>
      <c r="Z45" s="4">
        <f t="shared" si="8"/>
        <v>1.0756410256410256</v>
      </c>
      <c r="AA45" s="5"/>
      <c r="AB45" s="4"/>
      <c r="AD45">
        <v>1502</v>
      </c>
      <c r="AE45" s="2">
        <v>53.1</v>
      </c>
      <c r="AF45" s="4">
        <f t="shared" si="6"/>
        <v>1.1171770972037283</v>
      </c>
      <c r="AH45" s="4"/>
    </row>
    <row r="46" spans="1:34">
      <c r="A46" s="23" t="str">
        <f>Data!A44</f>
        <v>E02</v>
      </c>
      <c r="B46" s="11">
        <f>Data!B44</f>
        <v>150</v>
      </c>
      <c r="C46" s="11">
        <f>Data!C44</f>
        <v>150</v>
      </c>
      <c r="D46" s="11">
        <f>Data!D44</f>
        <v>4.18</v>
      </c>
      <c r="E46" s="11">
        <f>Data!E44</f>
        <v>550</v>
      </c>
      <c r="F46" s="11">
        <f>Data!F44</f>
        <v>200</v>
      </c>
      <c r="G46" s="11">
        <f>Data!G44</f>
        <v>82.1</v>
      </c>
      <c r="H46" s="11">
        <f>Data!H44</f>
        <v>65.679999999999993</v>
      </c>
      <c r="I46" s="12">
        <f>Data!I44</f>
        <v>40.052309731270384</v>
      </c>
      <c r="J46" s="11">
        <f>Data!J44</f>
        <v>870</v>
      </c>
      <c r="K46">
        <f>Data!Y44</f>
        <v>30</v>
      </c>
      <c r="M46" s="2">
        <f t="shared" ref="M46:M56" si="9">J46/B46</f>
        <v>5.8</v>
      </c>
      <c r="N46" s="3">
        <f>Data!L44</f>
        <v>0.28357265176046326</v>
      </c>
      <c r="P46">
        <f>Data!O44</f>
        <v>1850</v>
      </c>
      <c r="Q46" s="4">
        <f>Data!Q44</f>
        <v>55.5</v>
      </c>
      <c r="R46">
        <v>1713</v>
      </c>
      <c r="S46">
        <v>51.5</v>
      </c>
      <c r="T46" s="4">
        <f t="shared" si="7"/>
        <v>1.0799766491535319</v>
      </c>
      <c r="U46" s="5">
        <v>1595</v>
      </c>
      <c r="V46" s="4">
        <f t="shared" ref="V46:V56" si="10">P46/U46</f>
        <v>1.1598746081504703</v>
      </c>
      <c r="X46">
        <v>1660</v>
      </c>
      <c r="Y46">
        <v>53.9</v>
      </c>
      <c r="Z46" s="4">
        <f t="shared" si="8"/>
        <v>1.1144578313253013</v>
      </c>
      <c r="AA46" s="5">
        <v>1546</v>
      </c>
      <c r="AB46" s="4">
        <f t="shared" ref="AB46:AB56" si="11">P46/AA46</f>
        <v>1.1966364812419146</v>
      </c>
      <c r="AD46">
        <v>1593</v>
      </c>
      <c r="AE46" s="2">
        <v>56.8</v>
      </c>
      <c r="AF46" s="4">
        <f t="shared" si="6"/>
        <v>1.1613308223477714</v>
      </c>
      <c r="AG46">
        <v>1478</v>
      </c>
      <c r="AH46" s="4">
        <f>P46/AG46</f>
        <v>1.2516914749661705</v>
      </c>
    </row>
    <row r="47" spans="1:34">
      <c r="A47" s="23" t="str">
        <f>Data!A45</f>
        <v>E03</v>
      </c>
      <c r="B47" s="11">
        <f>Data!B45</f>
        <v>150</v>
      </c>
      <c r="C47" s="11">
        <f>Data!C45</f>
        <v>150</v>
      </c>
      <c r="D47" s="11">
        <f>Data!D45</f>
        <v>4.18</v>
      </c>
      <c r="E47" s="11">
        <f>Data!E45</f>
        <v>550</v>
      </c>
      <c r="F47" s="11">
        <f>Data!F45</f>
        <v>200</v>
      </c>
      <c r="G47" s="11">
        <f>Data!G45</f>
        <v>70.8</v>
      </c>
      <c r="H47" s="11">
        <f>Data!H45</f>
        <v>56.64</v>
      </c>
      <c r="I47" s="12">
        <f>Data!I45</f>
        <v>38.509961563077916</v>
      </c>
      <c r="J47" s="11">
        <f>Data!J45</f>
        <v>2170</v>
      </c>
      <c r="K47">
        <f>Data!Y45</f>
        <v>30</v>
      </c>
      <c r="M47" s="2">
        <f t="shared" si="9"/>
        <v>14.466666666666667</v>
      </c>
      <c r="N47" s="3">
        <f>Data!L45</f>
        <v>0.68696900428582375</v>
      </c>
      <c r="P47">
        <f>Data!O45</f>
        <v>1330</v>
      </c>
      <c r="Q47" s="4">
        <f>Data!Q45</f>
        <v>39.9</v>
      </c>
      <c r="R47">
        <v>1226</v>
      </c>
      <c r="S47">
        <v>36.799999999999997</v>
      </c>
      <c r="T47" s="4">
        <f t="shared" si="7"/>
        <v>1.0848287112561175</v>
      </c>
      <c r="U47" s="5"/>
      <c r="V47" s="4"/>
      <c r="X47">
        <v>1257</v>
      </c>
      <c r="Y47">
        <v>51.6</v>
      </c>
      <c r="Z47" s="4">
        <f t="shared" si="8"/>
        <v>1.0580747812251392</v>
      </c>
      <c r="AA47" s="5"/>
      <c r="AB47" s="4"/>
      <c r="AD47">
        <v>1118</v>
      </c>
      <c r="AE47" s="2">
        <v>56.9</v>
      </c>
      <c r="AF47" s="4">
        <f t="shared" si="6"/>
        <v>1.1896243291592128</v>
      </c>
      <c r="AH47" s="4"/>
    </row>
    <row r="48" spans="1:34">
      <c r="A48" s="23" t="str">
        <f>Data!A46</f>
        <v>E04</v>
      </c>
      <c r="B48" s="11">
        <f>Data!B46</f>
        <v>150</v>
      </c>
      <c r="C48" s="11">
        <f>Data!C46</f>
        <v>150</v>
      </c>
      <c r="D48" s="11">
        <f>Data!D46</f>
        <v>4.18</v>
      </c>
      <c r="E48" s="11">
        <f>Data!E46</f>
        <v>550</v>
      </c>
      <c r="F48" s="11">
        <f>Data!F46</f>
        <v>200</v>
      </c>
      <c r="G48" s="11">
        <f>Data!G46</f>
        <v>82.1</v>
      </c>
      <c r="H48" s="11">
        <f>Data!H46</f>
        <v>65.679999999999993</v>
      </c>
      <c r="I48" s="12">
        <f>Data!I46</f>
        <v>40.052309731270384</v>
      </c>
      <c r="J48" s="11">
        <f>Data!J46</f>
        <v>2170</v>
      </c>
      <c r="K48">
        <f>Data!Y46</f>
        <v>60</v>
      </c>
      <c r="M48" s="2">
        <f t="shared" si="9"/>
        <v>14.466666666666667</v>
      </c>
      <c r="N48" s="3">
        <f>Data!L46</f>
        <v>0.70730190151747729</v>
      </c>
      <c r="P48">
        <f>Data!O46</f>
        <v>1020</v>
      </c>
      <c r="Q48" s="4">
        <f>Data!Q46</f>
        <v>61.2</v>
      </c>
      <c r="R48">
        <v>858</v>
      </c>
      <c r="S48">
        <v>51.5</v>
      </c>
      <c r="T48" s="4">
        <f t="shared" si="7"/>
        <v>1.1888111888111887</v>
      </c>
      <c r="U48" s="5">
        <v>827</v>
      </c>
      <c r="V48" s="4">
        <f t="shared" si="10"/>
        <v>1.2333736396614268</v>
      </c>
      <c r="X48">
        <v>876</v>
      </c>
      <c r="Y48">
        <v>67.2</v>
      </c>
      <c r="Z48" s="4">
        <f t="shared" si="8"/>
        <v>1.1643835616438356</v>
      </c>
      <c r="AA48" s="5">
        <v>840</v>
      </c>
      <c r="AB48" s="4">
        <f t="shared" si="11"/>
        <v>1.2142857142857142</v>
      </c>
      <c r="AD48">
        <v>798</v>
      </c>
      <c r="AE48" s="2">
        <v>68.599999999999994</v>
      </c>
      <c r="AF48" s="4">
        <f t="shared" si="6"/>
        <v>1.2781954887218046</v>
      </c>
      <c r="AG48">
        <v>768</v>
      </c>
      <c r="AH48" s="4">
        <f t="shared" ref="AH48:AH56" si="12">P48/AG48</f>
        <v>1.328125</v>
      </c>
    </row>
    <row r="49" spans="1:34">
      <c r="A49" s="23" t="str">
        <f>Data!A47</f>
        <v>E05</v>
      </c>
      <c r="B49" s="11">
        <f>Data!B47</f>
        <v>120</v>
      </c>
      <c r="C49" s="11">
        <f>Data!C47</f>
        <v>180</v>
      </c>
      <c r="D49" s="11">
        <f>Data!D47</f>
        <v>4.18</v>
      </c>
      <c r="E49" s="11">
        <f>Data!E47</f>
        <v>550</v>
      </c>
      <c r="F49" s="11">
        <f>Data!F47</f>
        <v>200</v>
      </c>
      <c r="G49" s="11">
        <f>Data!G47</f>
        <v>70.8</v>
      </c>
      <c r="H49" s="11">
        <f>Data!H47</f>
        <v>56.64</v>
      </c>
      <c r="I49" s="12">
        <f>Data!I47</f>
        <v>38.509961563077916</v>
      </c>
      <c r="J49" s="11">
        <f>Data!J47</f>
        <v>1040</v>
      </c>
      <c r="K49">
        <f>Data!Y47</f>
        <v>30</v>
      </c>
      <c r="M49" s="2">
        <f t="shared" si="9"/>
        <v>8.6666666666666661</v>
      </c>
      <c r="N49" s="3">
        <f>Data!L47</f>
        <v>0.39980600066417643</v>
      </c>
      <c r="P49">
        <f>Data!O47</f>
        <v>1950</v>
      </c>
      <c r="Q49" s="4">
        <f>Data!Q47</f>
        <v>58.5</v>
      </c>
      <c r="R49">
        <v>1664</v>
      </c>
      <c r="S49">
        <v>50</v>
      </c>
      <c r="T49" s="4">
        <f t="shared" si="7"/>
        <v>1.171875</v>
      </c>
      <c r="U49" s="5"/>
      <c r="V49" s="4"/>
      <c r="X49">
        <v>1576</v>
      </c>
      <c r="Y49">
        <v>51.7</v>
      </c>
      <c r="Z49" s="4">
        <f t="shared" si="8"/>
        <v>1.2373096446700507</v>
      </c>
      <c r="AA49" s="5"/>
      <c r="AB49" s="4"/>
      <c r="AD49">
        <v>1511</v>
      </c>
      <c r="AE49" s="2">
        <v>55.3</v>
      </c>
      <c r="AF49" s="4">
        <f t="shared" si="6"/>
        <v>1.2905360688285903</v>
      </c>
      <c r="AH49" s="4"/>
    </row>
    <row r="50" spans="1:34">
      <c r="A50" s="23" t="str">
        <f>Data!A48</f>
        <v>E06</v>
      </c>
      <c r="B50" s="11">
        <f>Data!B48</f>
        <v>120</v>
      </c>
      <c r="C50" s="11">
        <f>Data!C48</f>
        <v>180</v>
      </c>
      <c r="D50" s="11">
        <f>Data!D48</f>
        <v>4.18</v>
      </c>
      <c r="E50" s="11">
        <f>Data!E48</f>
        <v>550</v>
      </c>
      <c r="F50" s="11">
        <f>Data!F48</f>
        <v>200</v>
      </c>
      <c r="G50" s="11">
        <f>Data!G48</f>
        <v>82.1</v>
      </c>
      <c r="H50" s="11">
        <f>Data!H48</f>
        <v>65.679999999999993</v>
      </c>
      <c r="I50" s="12">
        <f>Data!I48</f>
        <v>40.052309731270384</v>
      </c>
      <c r="J50" s="11">
        <f>Data!J48</f>
        <v>1040</v>
      </c>
      <c r="K50">
        <f>Data!Y48</f>
        <v>70</v>
      </c>
      <c r="M50" s="2">
        <f t="shared" si="9"/>
        <v>8.6666666666666661</v>
      </c>
      <c r="N50" s="3">
        <f>Data!L48</f>
        <v>0.41155983575159855</v>
      </c>
      <c r="P50">
        <f>Data!O48</f>
        <v>1140</v>
      </c>
      <c r="Q50" s="4">
        <f>Data!Q48</f>
        <v>79.8</v>
      </c>
      <c r="R50">
        <v>1136</v>
      </c>
      <c r="S50">
        <v>79.7</v>
      </c>
      <c r="T50" s="4">
        <f t="shared" si="7"/>
        <v>1.0035211267605635</v>
      </c>
      <c r="U50" s="5">
        <v>1076</v>
      </c>
      <c r="V50" s="4">
        <f t="shared" si="10"/>
        <v>1.0594795539033457</v>
      </c>
      <c r="X50">
        <v>1070</v>
      </c>
      <c r="Y50">
        <v>79</v>
      </c>
      <c r="Z50" s="4">
        <f t="shared" si="8"/>
        <v>1.0654205607476634</v>
      </c>
      <c r="AA50" s="5">
        <v>1013</v>
      </c>
      <c r="AB50" s="4">
        <f t="shared" si="11"/>
        <v>1.1253701875616979</v>
      </c>
      <c r="AD50">
        <v>1031</v>
      </c>
      <c r="AE50" s="2">
        <v>79.900000000000006</v>
      </c>
      <c r="AF50" s="4">
        <f t="shared" si="6"/>
        <v>1.1057225994180406</v>
      </c>
      <c r="AG50">
        <v>979</v>
      </c>
      <c r="AH50" s="4">
        <f t="shared" si="12"/>
        <v>1.1644535240040859</v>
      </c>
    </row>
    <row r="51" spans="1:34">
      <c r="A51" s="23" t="str">
        <f>Data!A49</f>
        <v>E07</v>
      </c>
      <c r="B51" s="11">
        <f>Data!B49</f>
        <v>80</v>
      </c>
      <c r="C51" s="11">
        <f>Data!C49</f>
        <v>120</v>
      </c>
      <c r="D51" s="11">
        <f>Data!D49</f>
        <v>4.18</v>
      </c>
      <c r="E51" s="11">
        <f>Data!E49</f>
        <v>550</v>
      </c>
      <c r="F51" s="11">
        <f>Data!F49</f>
        <v>200</v>
      </c>
      <c r="G51" s="11">
        <f>Data!G49</f>
        <v>70.8</v>
      </c>
      <c r="H51" s="11">
        <f>Data!H49</f>
        <v>56.64</v>
      </c>
      <c r="I51" s="12">
        <f>Data!I49</f>
        <v>38.509961563077916</v>
      </c>
      <c r="J51" s="11">
        <f>Data!J49</f>
        <v>1740</v>
      </c>
      <c r="K51">
        <f>Data!Y49</f>
        <v>20</v>
      </c>
      <c r="M51" s="2">
        <f t="shared" si="9"/>
        <v>21.75</v>
      </c>
      <c r="N51" s="3">
        <f>Data!L49</f>
        <v>0.98842125780495604</v>
      </c>
      <c r="P51">
        <f>Data!O49</f>
        <v>660</v>
      </c>
      <c r="Q51" s="4">
        <f>Data!Q49</f>
        <v>13.2</v>
      </c>
      <c r="R51">
        <v>705</v>
      </c>
      <c r="S51">
        <v>14.1</v>
      </c>
      <c r="T51" s="4">
        <f t="shared" si="7"/>
        <v>0.93617021276595747</v>
      </c>
      <c r="U51" s="5"/>
      <c r="V51" s="4"/>
      <c r="X51">
        <v>603</v>
      </c>
      <c r="Y51">
        <v>16.3</v>
      </c>
      <c r="Z51" s="4">
        <f t="shared" si="8"/>
        <v>1.0945273631840795</v>
      </c>
      <c r="AA51" s="5"/>
      <c r="AB51" s="4"/>
      <c r="AD51">
        <v>542</v>
      </c>
      <c r="AE51" s="2">
        <v>18.899999999999999</v>
      </c>
      <c r="AF51" s="4">
        <f t="shared" si="6"/>
        <v>1.2177121771217712</v>
      </c>
      <c r="AH51" s="4"/>
    </row>
    <row r="52" spans="1:34">
      <c r="A52" s="23" t="str">
        <f>Data!A50</f>
        <v>E08</v>
      </c>
      <c r="B52" s="11">
        <f>Data!B50</f>
        <v>80</v>
      </c>
      <c r="C52" s="11">
        <f>Data!C50</f>
        <v>120</v>
      </c>
      <c r="D52" s="11">
        <f>Data!D50</f>
        <v>4.18</v>
      </c>
      <c r="E52" s="11">
        <f>Data!E50</f>
        <v>550</v>
      </c>
      <c r="F52" s="11">
        <f>Data!F50</f>
        <v>200</v>
      </c>
      <c r="G52" s="11">
        <f>Data!G50</f>
        <v>82.1</v>
      </c>
      <c r="H52" s="11">
        <f>Data!H50</f>
        <v>65.679999999999993</v>
      </c>
      <c r="I52" s="12">
        <f>Data!I50</f>
        <v>40.052309731270384</v>
      </c>
      <c r="J52" s="11">
        <f>Data!J50</f>
        <v>1740</v>
      </c>
      <c r="K52">
        <f>Data!Y50</f>
        <v>20</v>
      </c>
      <c r="M52" s="2">
        <f t="shared" si="9"/>
        <v>21.75</v>
      </c>
      <c r="N52" s="3">
        <f>Data!L50</f>
        <v>1.0110374833662223</v>
      </c>
      <c r="P52">
        <f>Data!O50</f>
        <v>855</v>
      </c>
      <c r="Q52" s="4">
        <f>Data!Q50</f>
        <v>17.100000000000001</v>
      </c>
      <c r="R52">
        <v>730</v>
      </c>
      <c r="S52">
        <v>14.6</v>
      </c>
      <c r="T52" s="4">
        <f t="shared" si="7"/>
        <v>1.1712328767123288</v>
      </c>
      <c r="U52" s="5">
        <v>703</v>
      </c>
      <c r="V52" s="4">
        <f t="shared" si="10"/>
        <v>1.2162162162162162</v>
      </c>
      <c r="X52">
        <v>598</v>
      </c>
      <c r="Y52">
        <v>17.3</v>
      </c>
      <c r="Z52" s="4">
        <f t="shared" si="8"/>
        <v>1.4297658862876255</v>
      </c>
      <c r="AA52" s="5">
        <v>585</v>
      </c>
      <c r="AB52" s="4">
        <f t="shared" si="11"/>
        <v>1.4615384615384615</v>
      </c>
      <c r="AD52">
        <v>533</v>
      </c>
      <c r="AE52" s="2">
        <v>19.899999999999999</v>
      </c>
      <c r="AF52" s="4">
        <f t="shared" si="6"/>
        <v>1.6041275797373358</v>
      </c>
      <c r="AG52">
        <v>523</v>
      </c>
      <c r="AH52" s="4">
        <f t="shared" si="12"/>
        <v>1.6347992351816443</v>
      </c>
    </row>
    <row r="53" spans="1:34">
      <c r="A53" s="23" t="str">
        <f>Data!A51</f>
        <v>E09</v>
      </c>
      <c r="B53" s="11">
        <f>Data!B51</f>
        <v>100</v>
      </c>
      <c r="C53" s="11">
        <f>Data!C51</f>
        <v>200</v>
      </c>
      <c r="D53" s="11">
        <f>Data!D51</f>
        <v>4.18</v>
      </c>
      <c r="E53" s="11">
        <f>Data!E51</f>
        <v>550</v>
      </c>
      <c r="F53" s="11">
        <f>Data!F51</f>
        <v>200</v>
      </c>
      <c r="G53" s="11">
        <f>Data!G51</f>
        <v>70.8</v>
      </c>
      <c r="H53" s="11">
        <f>Data!H51</f>
        <v>56.64</v>
      </c>
      <c r="I53" s="12">
        <f>Data!I51</f>
        <v>38.509961563077916</v>
      </c>
      <c r="J53" s="11">
        <f>Data!J51</f>
        <v>1150</v>
      </c>
      <c r="K53">
        <f>Data!Y51</f>
        <v>60</v>
      </c>
      <c r="M53" s="2">
        <f t="shared" si="9"/>
        <v>11.5</v>
      </c>
      <c r="N53" s="3">
        <f>Data!L51</f>
        <v>0.51959158312735121</v>
      </c>
      <c r="P53">
        <f>Data!O51</f>
        <v>1310</v>
      </c>
      <c r="Q53" s="4">
        <f>Data!Q51</f>
        <v>78.599999999999994</v>
      </c>
      <c r="R53">
        <v>1212</v>
      </c>
      <c r="S53">
        <v>72.900000000000006</v>
      </c>
      <c r="T53" s="4">
        <f t="shared" si="7"/>
        <v>1.0808580858085808</v>
      </c>
      <c r="U53" s="5"/>
      <c r="V53" s="4"/>
      <c r="X53">
        <v>1109</v>
      </c>
      <c r="Y53">
        <v>71</v>
      </c>
      <c r="Z53" s="4">
        <f t="shared" si="8"/>
        <v>1.1812443642921551</v>
      </c>
      <c r="AA53" s="5"/>
      <c r="AB53" s="4"/>
      <c r="AD53">
        <v>1067</v>
      </c>
      <c r="AE53" s="2">
        <v>72.7</v>
      </c>
      <c r="AF53" s="4">
        <f t="shared" si="6"/>
        <v>1.2277413308341143</v>
      </c>
      <c r="AH53" s="4"/>
    </row>
    <row r="54" spans="1:34">
      <c r="A54" s="23" t="str">
        <f>Data!A52</f>
        <v>E10</v>
      </c>
      <c r="B54" s="11">
        <f>Data!B52</f>
        <v>100</v>
      </c>
      <c r="C54" s="11">
        <f>Data!C52</f>
        <v>200</v>
      </c>
      <c r="D54" s="11">
        <f>Data!D52</f>
        <v>4.18</v>
      </c>
      <c r="E54" s="11">
        <f>Data!E52</f>
        <v>550</v>
      </c>
      <c r="F54" s="11">
        <f>Data!F52</f>
        <v>200</v>
      </c>
      <c r="G54" s="11">
        <f>Data!G52</f>
        <v>82.1</v>
      </c>
      <c r="H54" s="11">
        <f>Data!H52</f>
        <v>65.679999999999993</v>
      </c>
      <c r="I54" s="12">
        <f>Data!I52</f>
        <v>40.052309731270384</v>
      </c>
      <c r="J54" s="11">
        <f>Data!J52</f>
        <v>1150</v>
      </c>
      <c r="K54">
        <f>Data!Y52</f>
        <v>40</v>
      </c>
      <c r="M54" s="2">
        <f t="shared" si="9"/>
        <v>11.5</v>
      </c>
      <c r="N54" s="3">
        <f>Data!L52</f>
        <v>0.53434526464672538</v>
      </c>
      <c r="P54">
        <f>Data!O52</f>
        <v>1800</v>
      </c>
      <c r="Q54" s="4">
        <f>Data!Q52</f>
        <v>72</v>
      </c>
      <c r="R54">
        <v>1575</v>
      </c>
      <c r="S54">
        <v>63.1</v>
      </c>
      <c r="T54" s="4">
        <f t="shared" si="7"/>
        <v>1.1428571428571428</v>
      </c>
      <c r="U54" s="5">
        <v>1476</v>
      </c>
      <c r="V54" s="4">
        <f t="shared" si="10"/>
        <v>1.2195121951219512</v>
      </c>
      <c r="X54">
        <v>1432</v>
      </c>
      <c r="Y54">
        <v>62.5</v>
      </c>
      <c r="Z54" s="4">
        <f t="shared" si="8"/>
        <v>1.2569832402234637</v>
      </c>
      <c r="AA54" s="5">
        <v>1350</v>
      </c>
      <c r="AB54" s="4">
        <f t="shared" si="11"/>
        <v>1.3333333333333333</v>
      </c>
      <c r="AD54">
        <v>1371</v>
      </c>
      <c r="AE54" s="2">
        <v>65.599999999999994</v>
      </c>
      <c r="AF54" s="4">
        <f t="shared" si="6"/>
        <v>1.3129102844638949</v>
      </c>
      <c r="AG54">
        <v>1293</v>
      </c>
      <c r="AH54" s="4">
        <f t="shared" si="12"/>
        <v>1.3921113689095128</v>
      </c>
    </row>
    <row r="55" spans="1:34">
      <c r="A55" s="23" t="str">
        <f>Data!A53</f>
        <v>E11</v>
      </c>
      <c r="B55" s="11">
        <f>Data!B53</f>
        <v>80</v>
      </c>
      <c r="C55" s="11">
        <f>Data!C53</f>
        <v>160</v>
      </c>
      <c r="D55" s="11">
        <f>Data!D53</f>
        <v>4.18</v>
      </c>
      <c r="E55" s="11">
        <f>Data!E53</f>
        <v>550</v>
      </c>
      <c r="F55" s="11">
        <f>Data!F53</f>
        <v>200</v>
      </c>
      <c r="G55" s="11">
        <f>Data!G53</f>
        <v>70.8</v>
      </c>
      <c r="H55" s="11">
        <f>Data!H53</f>
        <v>56.64</v>
      </c>
      <c r="I55" s="12">
        <f>Data!I53</f>
        <v>38.509961563077916</v>
      </c>
      <c r="J55" s="11">
        <f>Data!J53</f>
        <v>2310</v>
      </c>
      <c r="K55">
        <f>Data!Y53</f>
        <v>60</v>
      </c>
      <c r="M55" s="2">
        <f t="shared" si="9"/>
        <v>28.875</v>
      </c>
      <c r="N55" s="3">
        <f>Data!L53</f>
        <v>1.2929713296250553</v>
      </c>
      <c r="P55">
        <f>Data!O53</f>
        <v>670</v>
      </c>
      <c r="Q55" s="4">
        <f>Data!Q53</f>
        <v>40.200000000000003</v>
      </c>
      <c r="R55">
        <v>564</v>
      </c>
      <c r="S55">
        <v>33.9</v>
      </c>
      <c r="T55" s="4">
        <f t="shared" si="7"/>
        <v>1.1879432624113475</v>
      </c>
      <c r="U55" s="5"/>
      <c r="V55" s="4"/>
      <c r="X55">
        <v>393</v>
      </c>
      <c r="Y55">
        <v>30.6</v>
      </c>
      <c r="Z55" s="4">
        <f t="shared" si="8"/>
        <v>1.7048346055979644</v>
      </c>
      <c r="AA55" s="5"/>
      <c r="AB55" s="4"/>
      <c r="AD55">
        <v>367</v>
      </c>
      <c r="AE55" s="2">
        <v>32.200000000000003</v>
      </c>
      <c r="AF55" s="4">
        <f t="shared" si="6"/>
        <v>1.8256130790190737</v>
      </c>
      <c r="AH55" s="4"/>
    </row>
    <row r="56" spans="1:34">
      <c r="A56" s="23" t="str">
        <f>Data!A54</f>
        <v>E12</v>
      </c>
      <c r="B56" s="11">
        <f>Data!B54</f>
        <v>80</v>
      </c>
      <c r="C56" s="11">
        <f>Data!C54</f>
        <v>160</v>
      </c>
      <c r="D56" s="11">
        <f>Data!D54</f>
        <v>4.18</v>
      </c>
      <c r="E56" s="11">
        <f>Data!E54</f>
        <v>550</v>
      </c>
      <c r="F56" s="11">
        <f>Data!F54</f>
        <v>200</v>
      </c>
      <c r="G56" s="11">
        <f>Data!G54</f>
        <v>82.1</v>
      </c>
      <c r="H56" s="11">
        <f>Data!H54</f>
        <v>65.679999999999993</v>
      </c>
      <c r="I56" s="12">
        <f>Data!I54</f>
        <v>40.052309731270384</v>
      </c>
      <c r="J56" s="11">
        <f>Data!J54</f>
        <v>2310</v>
      </c>
      <c r="K56">
        <f>Data!Y54</f>
        <v>30</v>
      </c>
      <c r="M56" s="2">
        <f t="shared" si="9"/>
        <v>28.875</v>
      </c>
      <c r="N56" s="3">
        <f>Data!L54</f>
        <v>1.324985843141453</v>
      </c>
      <c r="P56">
        <f>Data!O54</f>
        <v>1020</v>
      </c>
      <c r="Q56" s="4">
        <f>Data!Q54</f>
        <v>30.6</v>
      </c>
      <c r="R56">
        <v>850</v>
      </c>
      <c r="S56">
        <v>25.5</v>
      </c>
      <c r="T56" s="4">
        <f t="shared" si="7"/>
        <v>1.2</v>
      </c>
      <c r="U56" s="5">
        <v>819</v>
      </c>
      <c r="V56" s="4">
        <f t="shared" si="10"/>
        <v>1.2454212454212454</v>
      </c>
      <c r="X56">
        <v>523</v>
      </c>
      <c r="Y56">
        <v>22.7</v>
      </c>
      <c r="Z56" s="4">
        <f t="shared" si="8"/>
        <v>1.9502868068833652</v>
      </c>
      <c r="AA56" s="5">
        <v>514</v>
      </c>
      <c r="AB56" s="4">
        <f t="shared" si="11"/>
        <v>1.9844357976653697</v>
      </c>
      <c r="AD56">
        <v>476</v>
      </c>
      <c r="AE56" s="2">
        <v>25.9</v>
      </c>
      <c r="AF56" s="4">
        <f t="shared" si="6"/>
        <v>2.1428571428571428</v>
      </c>
      <c r="AG56">
        <v>468</v>
      </c>
      <c r="AH56" s="4">
        <f t="shared" si="12"/>
        <v>2.1794871794871793</v>
      </c>
    </row>
    <row r="57" spans="1:34">
      <c r="S57" s="13" t="s">
        <v>150</v>
      </c>
      <c r="T57" s="14">
        <f>AVERAGE(T45:T56)</f>
        <v>1.1077964268816975</v>
      </c>
      <c r="U57" s="16">
        <f>COUNTIF(V45:V56, "&gt;0.01")</f>
        <v>6</v>
      </c>
      <c r="V57" s="14">
        <f>AVERAGE(V45:V56)</f>
        <v>1.1889795764124427</v>
      </c>
      <c r="Y57" s="13" t="s">
        <v>150</v>
      </c>
      <c r="Z57" s="14">
        <f>AVERAGE(Z45:Z56)</f>
        <v>1.2777441393101392</v>
      </c>
      <c r="AA57" s="16">
        <f>COUNTIF(AB45:AB56, "&gt;.001")</f>
        <v>6</v>
      </c>
      <c r="AB57" s="14">
        <f>AVERAGE(AB45:AB56)</f>
        <v>1.3859333292710818</v>
      </c>
      <c r="AE57" s="13" t="s">
        <v>150</v>
      </c>
      <c r="AF57" s="4">
        <f>AVERAGE(AF45:AF56)</f>
        <v>1.3727956666427066</v>
      </c>
      <c r="AG57" s="21">
        <v>6</v>
      </c>
      <c r="AH57" s="4">
        <f>AVERAGE(AH46,AH48,AH50,AH52,AH54,AH56)</f>
        <v>1.4917779637580988</v>
      </c>
    </row>
    <row r="58" spans="1:34">
      <c r="S58" t="s">
        <v>148</v>
      </c>
      <c r="T58" s="3">
        <f>STDEV(T45:T56)</f>
        <v>8.371320736540884E-2</v>
      </c>
      <c r="U58" s="3"/>
      <c r="V58" s="3">
        <f t="array" ref="V58">STDEV(IF(V45:V56 &gt;0.001,V45:V56))</f>
        <v>6.9925567874278755E-2</v>
      </c>
      <c r="Y58" t="s">
        <v>148</v>
      </c>
      <c r="Z58" s="3">
        <f>STDEV(Z45:Z56)</f>
        <v>0.28227512545689121</v>
      </c>
      <c r="AB58" s="3">
        <f t="array" ref="AB58">STDEV(IF(AB45:AB56 &gt;0.001,AB45:AB56))</f>
        <v>0.31618901040146274</v>
      </c>
      <c r="AE58" t="s">
        <v>148</v>
      </c>
      <c r="AF58" s="3">
        <f>STDEV(AF45:AF56)</f>
        <v>0.32063636707428811</v>
      </c>
      <c r="AH58" s="3">
        <f>STDEV(AH46,AH48,AH50,AH52,AH54,AH56)</f>
        <v>0.37279956628583982</v>
      </c>
    </row>
    <row r="59" spans="1:34">
      <c r="AE59" s="2"/>
      <c r="AF59" s="4"/>
      <c r="AH59" s="4"/>
    </row>
    <row r="60" spans="1:34">
      <c r="R60" s="9" t="s">
        <v>151</v>
      </c>
      <c r="S60" s="13" t="s">
        <v>152</v>
      </c>
      <c r="T60" s="14">
        <f>AVERAGE(T8:T33,T37:T41,T45:T56)</f>
        <v>1.1181991480703823</v>
      </c>
      <c r="U60" s="16">
        <f>SUM(U34,U42,U57)</f>
        <v>32</v>
      </c>
      <c r="V60" s="14">
        <f>(26*V34+6*V57)/U60</f>
        <v>1.2648039378596383</v>
      </c>
      <c r="X60" s="9" t="s">
        <v>151</v>
      </c>
      <c r="Y60" s="13" t="s">
        <v>152</v>
      </c>
      <c r="Z60" s="14">
        <f>AVERAGE(Z8:Z33,Z37:Z41,Z45:Z56)</f>
        <v>1.2229497863172341</v>
      </c>
      <c r="AA60" s="16">
        <f>SUM(AA34,AA42,AA57)</f>
        <v>32</v>
      </c>
      <c r="AB60" s="14">
        <f>(26*AB34+6*AB57)/AA60</f>
        <v>1.3283457884477636</v>
      </c>
      <c r="AE60" s="2"/>
      <c r="AF60" s="4"/>
      <c r="AH60" s="4"/>
    </row>
    <row r="61" spans="1:34">
      <c r="R61" s="6" t="s">
        <v>151</v>
      </c>
      <c r="S61" t="s">
        <v>148</v>
      </c>
      <c r="T61" s="3">
        <f>(26*T35+5*T43+12*T58)/43</f>
        <v>7.8692788791098131E-2</v>
      </c>
      <c r="U61" s="3"/>
      <c r="V61" s="3">
        <f>(26*V35+6*V58)/U60</f>
        <v>9.0636490549987694E-2</v>
      </c>
      <c r="X61" s="6" t="s">
        <v>151</v>
      </c>
      <c r="Y61" t="s">
        <v>148</v>
      </c>
      <c r="Z61" s="3">
        <f>(26*Z35+5*Z43+12*Z58)/43</f>
        <v>0.14073275642703223</v>
      </c>
      <c r="AB61" s="3">
        <f>(26*AB35+6*AB58)/AA60</f>
        <v>0.14066884128323726</v>
      </c>
      <c r="AE61" s="2"/>
      <c r="AF61" s="4"/>
      <c r="AH61" s="4"/>
    </row>
    <row r="62" spans="1:34">
      <c r="Q62" t="s">
        <v>153</v>
      </c>
      <c r="R62">
        <f>COUNTIF(H8:H56, "&lt;60.01")</f>
        <v>11</v>
      </c>
      <c r="S62" s="23" t="s">
        <v>154</v>
      </c>
      <c r="T62" s="4">
        <f t="array" ref="T62">AVERAGE(IF(H8:H56 &lt;60.01,IF(H8:H56 &gt;0.001,T8:T56)))</f>
        <v>1.1180914530821575</v>
      </c>
      <c r="AE62" s="2"/>
      <c r="AF62" s="4"/>
      <c r="AH62" s="4"/>
    </row>
    <row r="63" spans="1:34">
      <c r="A63" s="21" t="str">
        <f>Data!A58</f>
        <v>Guo Lanhui</v>
      </c>
      <c r="B63" s="21">
        <f>Data!B58</f>
        <v>2007</v>
      </c>
      <c r="C63" s="17" t="str">
        <f>Data!C58</f>
        <v>Ref. 108</v>
      </c>
      <c r="Q63" t="s">
        <v>155</v>
      </c>
      <c r="R63">
        <f>COUNTIF(H8:H56,"&gt;60")</f>
        <v>32</v>
      </c>
      <c r="S63" s="23" t="s">
        <v>154</v>
      </c>
      <c r="T63" s="4">
        <f t="array" ref="T63">AVERAGE(IF(H8:H56 &gt;60,T8:T56))</f>
        <v>1.0843502237309914</v>
      </c>
      <c r="AE63" s="2"/>
      <c r="AF63" s="4"/>
      <c r="AH63" s="4"/>
    </row>
    <row r="64" spans="1:34">
      <c r="A64" s="23" t="str">
        <f>Data!A59</f>
        <v>R-K3-2</v>
      </c>
      <c r="B64" s="11">
        <f>Data!B59</f>
        <v>100.5</v>
      </c>
      <c r="C64" s="11">
        <f>Data!C59</f>
        <v>200.7</v>
      </c>
      <c r="D64" s="11">
        <f>Data!D59</f>
        <v>3.62</v>
      </c>
      <c r="E64" s="11">
        <f>Data!E59</f>
        <v>289</v>
      </c>
      <c r="F64" s="11">
        <f>Data!F59</f>
        <v>200</v>
      </c>
      <c r="G64" s="11">
        <f>Data!G59</f>
        <v>55</v>
      </c>
      <c r="H64" s="11">
        <f>Data!H59</f>
        <v>44</v>
      </c>
      <c r="I64" s="12">
        <f>Data!I59</f>
        <v>36.076440733482187</v>
      </c>
      <c r="J64" s="11">
        <f>Data!J59</f>
        <v>1800</v>
      </c>
      <c r="K64">
        <f>Data!Y59</f>
        <v>40</v>
      </c>
      <c r="M64" s="2">
        <f>J64/B64</f>
        <v>17.910447761194028</v>
      </c>
      <c r="N64" s="3">
        <f>Data!L59</f>
        <v>0.65958090802342229</v>
      </c>
      <c r="P64">
        <v>983</v>
      </c>
      <c r="Q64" s="4">
        <f>Data!Q59</f>
        <v>39.32</v>
      </c>
      <c r="R64">
        <v>907</v>
      </c>
      <c r="S64">
        <v>36.4</v>
      </c>
      <c r="T64" s="4">
        <f>P64/R64</f>
        <v>1.0837927232635061</v>
      </c>
      <c r="X64">
        <v>782</v>
      </c>
      <c r="Y64">
        <v>28.5</v>
      </c>
      <c r="Z64" s="4">
        <f>P64/X64</f>
        <v>1.2570332480818414</v>
      </c>
      <c r="AD64">
        <v>729</v>
      </c>
      <c r="AE64" s="2">
        <v>38</v>
      </c>
      <c r="AF64" s="4">
        <f t="shared" si="6"/>
        <v>1.3484224965706446</v>
      </c>
      <c r="AH64" s="4"/>
    </row>
    <row r="65" spans="1:34">
      <c r="A65" s="23" t="str">
        <f>Data!A60</f>
        <v>R-K3-5</v>
      </c>
      <c r="B65" s="11">
        <f>Data!B60</f>
        <v>200.4</v>
      </c>
      <c r="C65" s="11">
        <f>Data!C60</f>
        <v>99.4</v>
      </c>
      <c r="D65" s="11">
        <f>Data!D60</f>
        <v>3.64</v>
      </c>
      <c r="E65" s="11">
        <f>Data!E60</f>
        <v>289</v>
      </c>
      <c r="F65" s="11">
        <f>Data!F60</f>
        <v>200</v>
      </c>
      <c r="G65" s="11">
        <f>Data!G60</f>
        <v>55</v>
      </c>
      <c r="H65" s="11">
        <f>Data!H60</f>
        <v>44</v>
      </c>
      <c r="I65" s="12">
        <f>Data!I60</f>
        <v>36.076440733482187</v>
      </c>
      <c r="J65" s="11">
        <f>Data!J60</f>
        <v>1800</v>
      </c>
      <c r="K65">
        <f>Data!Y60</f>
        <v>0</v>
      </c>
      <c r="L65">
        <v>30</v>
      </c>
      <c r="M65" s="2">
        <f>J65/C65</f>
        <v>18.108651911468812</v>
      </c>
      <c r="N65" s="3">
        <f>Data!L60</f>
        <v>0.36361481689342562</v>
      </c>
      <c r="P65">
        <v>655</v>
      </c>
      <c r="Q65" s="4">
        <f>Data!Q60</f>
        <v>19.649999999999999</v>
      </c>
      <c r="R65">
        <v>604</v>
      </c>
      <c r="S65">
        <v>18.2</v>
      </c>
      <c r="T65" s="4">
        <f>P65/R65</f>
        <v>1.0844370860927153</v>
      </c>
      <c r="X65">
        <v>560</v>
      </c>
      <c r="Y65">
        <v>24.3</v>
      </c>
      <c r="Z65" s="4">
        <f>P65/X65</f>
        <v>1.1696428571428572</v>
      </c>
      <c r="AD65">
        <v>551</v>
      </c>
      <c r="AE65" s="2">
        <v>25.8</v>
      </c>
      <c r="AF65" s="4">
        <f t="shared" si="6"/>
        <v>1.1887477313974593</v>
      </c>
      <c r="AH65" s="4"/>
    </row>
    <row r="66" spans="1:34">
      <c r="S66" s="13" t="s">
        <v>156</v>
      </c>
      <c r="T66" s="14">
        <f>AVERAGE(T64:T65)</f>
        <v>1.0841149046781107</v>
      </c>
      <c r="Y66" s="13" t="s">
        <v>156</v>
      </c>
      <c r="Z66" s="14">
        <f>AVERAGE(Z64:Z65)</f>
        <v>1.2133380526123494</v>
      </c>
      <c r="AE66" s="13" t="s">
        <v>156</v>
      </c>
      <c r="AF66" s="4">
        <f>AVERAGE(AF64:AF65)</f>
        <v>1.2685851139840518</v>
      </c>
    </row>
    <row r="67" spans="1:34">
      <c r="S67" t="s">
        <v>148</v>
      </c>
      <c r="T67" s="3">
        <f>STDEV(T64:T65)</f>
        <v>4.5563332607838206E-4</v>
      </c>
      <c r="Y67" t="s">
        <v>148</v>
      </c>
      <c r="Z67" s="3">
        <f>STDEV(Z64:Z65)</f>
        <v>6.1794338043499111E-2</v>
      </c>
      <c r="AE67" t="s">
        <v>148</v>
      </c>
      <c r="AF67" s="3">
        <f>STDEV(AF64:AF65)</f>
        <v>0.11290710923832893</v>
      </c>
    </row>
    <row r="69" spans="1:34">
      <c r="R69" s="21" t="s">
        <v>157</v>
      </c>
      <c r="S69" s="13" t="s">
        <v>158</v>
      </c>
      <c r="T69" s="14">
        <f>(26*T34+5*T42+12*T57+2*T66)/45</f>
        <v>1.1166842928085035</v>
      </c>
      <c r="Z69" s="14">
        <f>(26*Z34+5*Z42+12*Z57+2*Z66)/45</f>
        <v>1.2225225981525727</v>
      </c>
      <c r="AB69" s="14"/>
      <c r="AD69" s="21" t="s">
        <v>157</v>
      </c>
      <c r="AE69" s="13" t="s">
        <v>158</v>
      </c>
      <c r="AF69" s="14">
        <f>(26*AF34+5*AF42+12*AF57+2*AF66)/45</f>
        <v>1.3363042511285153</v>
      </c>
      <c r="AG69" s="23">
        <v>32</v>
      </c>
      <c r="AH69" s="4">
        <f>(26*AH34+6*AH57)/32</f>
        <v>1.4656187757903041</v>
      </c>
    </row>
    <row r="70" spans="1:34">
      <c r="S70" t="s">
        <v>159</v>
      </c>
      <c r="T70" s="20">
        <f>(26*T35+5*T43+12*T58+2*T67)/45</f>
        <v>7.5215581881541704E-2</v>
      </c>
      <c r="Z70" s="20">
        <f>(26*Z35+5*Z43+12*Z58+2*Z67)/45</f>
        <v>0.13722438227665298</v>
      </c>
      <c r="AE70" t="s">
        <v>159</v>
      </c>
      <c r="AF70" s="3">
        <f>(26*AF35+5*AF43+12*AF58+2*AF67)/45</f>
        <v>0.19189425972958579</v>
      </c>
      <c r="AH70" s="3">
        <f>(26*AH35+6*AH58)/32</f>
        <v>0.1962808177444339</v>
      </c>
    </row>
    <row r="72" spans="1:34">
      <c r="R72" t="s">
        <v>160</v>
      </c>
      <c r="S72" t="s">
        <v>161</v>
      </c>
      <c r="T72" s="5">
        <f>COUNTIF(T8:T33,"&lt;1")+COUNTIF(T37:T41,"&lt;1")+COUNTIF(T45:T56,"&lt;1")+COUNTIF(T64:T65,"&lt;1")</f>
        <v>2</v>
      </c>
      <c r="Z72" s="5">
        <f>COUNTIF(Z8:Z33,"&lt;1")+COUNTIF(Z37:Z41,"&lt;1")+COUNTIF(Z45:Z56,"&lt;1")+COUNTIF(Z64:Z65,"&lt;1")</f>
        <v>0</v>
      </c>
      <c r="AF72" s="5">
        <f>COUNTIF(AF8:AF33,"&lt;1")+COUNTIF(AF37:AF41,"&lt;1")+COUNTIF(AF45:AF56,"&lt;1")+COUNTIF(AF64:AF65,"&lt;1")</f>
        <v>0</v>
      </c>
    </row>
  </sheetData>
  <mergeCells count="16">
    <mergeCell ref="AD4:AE4"/>
    <mergeCell ref="A1:H1"/>
    <mergeCell ref="B2:E2"/>
    <mergeCell ref="J3:L3"/>
    <mergeCell ref="R3:T3"/>
    <mergeCell ref="AD1:AG1"/>
    <mergeCell ref="AD2:AG2"/>
    <mergeCell ref="AD3:AF3"/>
    <mergeCell ref="AA3:AB3"/>
    <mergeCell ref="AA4:AB4"/>
    <mergeCell ref="X3:Z3"/>
    <mergeCell ref="P4:Q4"/>
    <mergeCell ref="R4:S4"/>
    <mergeCell ref="X4:Y4"/>
    <mergeCell ref="U3:V3"/>
    <mergeCell ref="U4:V4"/>
  </mergeCells>
  <phoneticPr fontId="0" type="noConversion"/>
  <pageMargins left="0.75" right="0.75" top="1" bottom="1" header="0.5" footer="0.5"/>
  <pageSetup paperSize="9" scale="82" orientation="landscape" horizontalDpi="300" verticalDpi="0" copies="0" r:id="rId1"/>
  <headerFooter alignWithMargins="0"/>
  <colBreaks count="1" manualBreakCount="1">
    <brk id="1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5"/>
  <sheetViews>
    <sheetView topLeftCell="A34" workbookViewId="0" xr3:uid="{842E5F09-E766-5B8D-85AF-A39847EA96FD}">
      <selection activeCell="G21" sqref="G21"/>
    </sheetView>
  </sheetViews>
  <sheetFormatPr defaultRowHeight="12.75"/>
  <cols>
    <col min="1" max="1" width="14.7109375" customWidth="1"/>
    <col min="2" max="6" width="7.7109375" customWidth="1"/>
  </cols>
  <sheetData>
    <row r="1" spans="1:6">
      <c r="A1" s="24" t="s">
        <v>162</v>
      </c>
      <c r="B1" s="24"/>
      <c r="C1" s="24"/>
      <c r="D1" s="24"/>
      <c r="E1" s="24"/>
      <c r="F1" s="24"/>
    </row>
    <row r="2" spans="1:6">
      <c r="C2" s="24" t="s">
        <v>163</v>
      </c>
      <c r="D2" s="24"/>
      <c r="E2" s="24"/>
    </row>
    <row r="3" spans="1:6">
      <c r="B3" s="21" t="s">
        <v>9</v>
      </c>
      <c r="C3" s="21" t="s">
        <v>36</v>
      </c>
      <c r="D3" s="7" t="s">
        <v>9</v>
      </c>
      <c r="E3" s="21" t="s">
        <v>164</v>
      </c>
      <c r="F3" s="21" t="s">
        <v>26</v>
      </c>
    </row>
    <row r="4" spans="1:6">
      <c r="B4" s="21" t="s">
        <v>54</v>
      </c>
      <c r="C4" s="21" t="s">
        <v>54</v>
      </c>
      <c r="D4" s="21" t="s">
        <v>36</v>
      </c>
      <c r="E4" s="21"/>
      <c r="F4" s="21"/>
    </row>
    <row r="5" spans="1:6">
      <c r="A5" s="13" t="s">
        <v>165</v>
      </c>
      <c r="B5">
        <v>882</v>
      </c>
      <c r="C5">
        <v>710</v>
      </c>
      <c r="D5" s="4">
        <f>B5/C5</f>
        <v>1.2422535211267605</v>
      </c>
      <c r="E5" s="3">
        <v>1.0487364451299039</v>
      </c>
      <c r="F5">
        <v>36.08</v>
      </c>
    </row>
    <row r="6" spans="1:6">
      <c r="A6" s="6" t="s">
        <v>166</v>
      </c>
      <c r="B6">
        <v>670</v>
      </c>
      <c r="C6">
        <v>629</v>
      </c>
      <c r="D6" s="4">
        <f t="shared" ref="D6:D55" si="0">B6/C6</f>
        <v>1.0651828298887123</v>
      </c>
      <c r="E6" s="3">
        <v>1.055124532921069</v>
      </c>
      <c r="F6">
        <v>37.76</v>
      </c>
    </row>
    <row r="7" spans="1:6">
      <c r="A7" s="6" t="s">
        <v>167</v>
      </c>
      <c r="B7">
        <v>470</v>
      </c>
      <c r="C7">
        <v>439</v>
      </c>
      <c r="D7" s="4">
        <f t="shared" si="0"/>
        <v>1.070615034168565</v>
      </c>
      <c r="E7" s="3">
        <v>1.0584422842588779</v>
      </c>
      <c r="F7">
        <v>38.479999999999997</v>
      </c>
    </row>
    <row r="8" spans="1:6">
      <c r="A8" s="6" t="s">
        <v>168</v>
      </c>
      <c r="B8">
        <v>339</v>
      </c>
      <c r="C8">
        <v>330</v>
      </c>
      <c r="D8" s="4">
        <f t="shared" si="0"/>
        <v>1.0272727272727273</v>
      </c>
      <c r="E8" s="3">
        <v>1.0522885819991259</v>
      </c>
      <c r="F8">
        <v>37.92</v>
      </c>
    </row>
    <row r="9" spans="1:6">
      <c r="A9">
        <v>2</v>
      </c>
      <c r="B9">
        <v>667</v>
      </c>
      <c r="C9">
        <v>466</v>
      </c>
      <c r="D9" s="4">
        <f t="shared" si="0"/>
        <v>1.4313304721030042</v>
      </c>
      <c r="E9" s="3">
        <v>1.4766908945213992</v>
      </c>
      <c r="F9">
        <v>37.6</v>
      </c>
    </row>
    <row r="10" spans="1:6">
      <c r="A10">
        <v>3</v>
      </c>
      <c r="B10">
        <v>650</v>
      </c>
      <c r="C10">
        <v>408</v>
      </c>
      <c r="D10" s="4">
        <f t="shared" si="0"/>
        <v>1.5931372549019607</v>
      </c>
      <c r="E10" s="3">
        <v>1.4730858800688764</v>
      </c>
      <c r="F10">
        <v>38.159999999999997</v>
      </c>
    </row>
    <row r="11" spans="1:6">
      <c r="A11">
        <v>4</v>
      </c>
      <c r="B11">
        <v>443</v>
      </c>
      <c r="C11">
        <v>302</v>
      </c>
      <c r="D11" s="4">
        <f t="shared" si="0"/>
        <v>1.4668874172185431</v>
      </c>
      <c r="E11" s="3">
        <v>1.469388982205923</v>
      </c>
      <c r="F11">
        <v>38.64</v>
      </c>
    </row>
    <row r="12" spans="1:6">
      <c r="A12">
        <v>5</v>
      </c>
      <c r="B12">
        <v>344</v>
      </c>
      <c r="C12">
        <v>241</v>
      </c>
      <c r="D12" s="4">
        <f t="shared" si="0"/>
        <v>1.4273858921161826</v>
      </c>
      <c r="E12" s="3">
        <v>1.458234005372893</v>
      </c>
      <c r="F12">
        <v>38.56</v>
      </c>
    </row>
    <row r="13" spans="1:6">
      <c r="A13">
        <v>6</v>
      </c>
      <c r="B13">
        <v>536</v>
      </c>
      <c r="C13">
        <v>329</v>
      </c>
      <c r="D13" s="4">
        <f t="shared" si="0"/>
        <v>1.6291793313069909</v>
      </c>
      <c r="E13" s="3">
        <v>1.8048576266591456</v>
      </c>
      <c r="F13">
        <v>36.56</v>
      </c>
    </row>
    <row r="14" spans="1:6">
      <c r="A14">
        <v>7</v>
      </c>
      <c r="B14">
        <v>558</v>
      </c>
      <c r="C14">
        <v>291</v>
      </c>
      <c r="D14" s="4">
        <f t="shared" si="0"/>
        <v>1.9175257731958764</v>
      </c>
      <c r="E14" s="3">
        <v>1.7784021590687149</v>
      </c>
      <c r="F14">
        <v>37.04</v>
      </c>
    </row>
    <row r="15" spans="1:6">
      <c r="A15">
        <v>8</v>
      </c>
      <c r="B15">
        <v>356</v>
      </c>
      <c r="C15">
        <v>233</v>
      </c>
      <c r="D15" s="4">
        <f t="shared" si="0"/>
        <v>1.5278969957081545</v>
      </c>
      <c r="E15" s="3">
        <v>1.8260667667281596</v>
      </c>
      <c r="F15">
        <v>37.840000000000003</v>
      </c>
    </row>
    <row r="16" spans="1:6">
      <c r="A16">
        <v>9</v>
      </c>
      <c r="B16">
        <v>293</v>
      </c>
      <c r="C16">
        <v>191</v>
      </c>
      <c r="D16" s="4">
        <f t="shared" si="0"/>
        <v>1.5340314136125655</v>
      </c>
      <c r="E16" s="3">
        <v>1.7988556452559548</v>
      </c>
      <c r="F16">
        <v>38</v>
      </c>
    </row>
    <row r="17" spans="1:6">
      <c r="A17" s="6" t="s">
        <v>169</v>
      </c>
      <c r="B17">
        <v>402</v>
      </c>
      <c r="C17">
        <v>434</v>
      </c>
      <c r="D17" s="4">
        <f t="shared" si="0"/>
        <v>0.92626728110599077</v>
      </c>
      <c r="E17" s="3">
        <v>1.0723837870397315</v>
      </c>
      <c r="F17">
        <v>41.2</v>
      </c>
    </row>
    <row r="18" spans="1:6">
      <c r="A18">
        <v>10</v>
      </c>
      <c r="B18">
        <v>349</v>
      </c>
      <c r="C18">
        <v>298</v>
      </c>
      <c r="D18" s="4">
        <f t="shared" si="0"/>
        <v>1.1711409395973154</v>
      </c>
      <c r="E18" s="3">
        <v>1.4798978783046743</v>
      </c>
      <c r="F18">
        <v>36.56</v>
      </c>
    </row>
    <row r="19" spans="1:6">
      <c r="A19">
        <v>11</v>
      </c>
      <c r="B19">
        <v>273</v>
      </c>
      <c r="C19">
        <v>224</v>
      </c>
      <c r="D19" s="4">
        <f t="shared" si="0"/>
        <v>1.21875</v>
      </c>
      <c r="E19" s="3">
        <v>1.8052134669878932</v>
      </c>
      <c r="F19">
        <v>37.76</v>
      </c>
    </row>
    <row r="20" spans="1:6">
      <c r="A20" s="13" t="s">
        <v>170</v>
      </c>
      <c r="B20">
        <v>588</v>
      </c>
      <c r="C20">
        <v>477</v>
      </c>
      <c r="D20" s="4">
        <f t="shared" si="0"/>
        <v>1.2327044025157232</v>
      </c>
      <c r="E20" s="3">
        <v>0.72071364160606832</v>
      </c>
      <c r="F20" s="4">
        <v>15.144</v>
      </c>
    </row>
    <row r="21" spans="1:6">
      <c r="A21" s="6" t="s">
        <v>171</v>
      </c>
      <c r="B21">
        <v>450.8</v>
      </c>
      <c r="C21">
        <v>381</v>
      </c>
      <c r="D21" s="4">
        <f t="shared" si="0"/>
        <v>1.1832020997375328</v>
      </c>
      <c r="E21" s="3">
        <v>0.72071364160606832</v>
      </c>
      <c r="F21" s="4">
        <v>15.144</v>
      </c>
    </row>
    <row r="22" spans="1:6">
      <c r="A22" s="6" t="s">
        <v>172</v>
      </c>
      <c r="B22">
        <v>421.4</v>
      </c>
      <c r="C22">
        <v>351</v>
      </c>
      <c r="D22" s="4">
        <f t="shared" si="0"/>
        <v>1.2005698005698004</v>
      </c>
      <c r="E22" s="3">
        <v>0.74542312655146625</v>
      </c>
      <c r="F22" s="4">
        <v>20.368000000000002</v>
      </c>
    </row>
    <row r="23" spans="1:6">
      <c r="A23" s="6" t="s">
        <v>173</v>
      </c>
      <c r="B23">
        <v>333.2</v>
      </c>
      <c r="C23">
        <v>300</v>
      </c>
      <c r="D23" s="4">
        <f t="shared" si="0"/>
        <v>1.1106666666666667</v>
      </c>
      <c r="E23" s="3">
        <v>0.72071364160606832</v>
      </c>
      <c r="F23" s="4">
        <v>15.144</v>
      </c>
    </row>
    <row r="24" spans="1:6">
      <c r="A24" s="6" t="s">
        <v>174</v>
      </c>
      <c r="B24">
        <v>417.5</v>
      </c>
      <c r="C24">
        <v>351</v>
      </c>
      <c r="D24" s="4">
        <f t="shared" si="0"/>
        <v>1.1894586894586894</v>
      </c>
      <c r="E24" s="3">
        <v>0.74542312655146625</v>
      </c>
      <c r="F24" s="4">
        <v>20.368000000000002</v>
      </c>
    </row>
    <row r="25" spans="1:6">
      <c r="A25" s="6" t="s">
        <v>175</v>
      </c>
      <c r="B25">
        <v>423.4</v>
      </c>
      <c r="C25">
        <v>326</v>
      </c>
      <c r="D25" s="4">
        <f t="shared" si="0"/>
        <v>1.2987730061349692</v>
      </c>
      <c r="E25" s="3">
        <v>0.78574944277152647</v>
      </c>
      <c r="F25" s="4">
        <v>29.28</v>
      </c>
    </row>
    <row r="26" spans="1:6">
      <c r="A26" s="6" t="s">
        <v>176</v>
      </c>
      <c r="B26">
        <v>833</v>
      </c>
      <c r="C26">
        <v>682</v>
      </c>
      <c r="D26" s="4">
        <f t="shared" si="0"/>
        <v>1.2214076246334311</v>
      </c>
      <c r="E26" s="3">
        <v>0.63246292180432362</v>
      </c>
      <c r="F26" s="4">
        <v>18.84</v>
      </c>
    </row>
    <row r="27" spans="1:6">
      <c r="A27" s="6" t="s">
        <v>177</v>
      </c>
      <c r="B27">
        <v>615.4</v>
      </c>
      <c r="C27">
        <v>488</v>
      </c>
      <c r="D27" s="4">
        <f t="shared" si="0"/>
        <v>1.2610655737704917</v>
      </c>
      <c r="E27" s="3">
        <v>0.63246292180432362</v>
      </c>
      <c r="F27" s="4">
        <v>18.84</v>
      </c>
    </row>
    <row r="28" spans="1:6">
      <c r="A28" s="6" t="s">
        <v>178</v>
      </c>
      <c r="B28">
        <v>509.6</v>
      </c>
      <c r="C28">
        <v>392</v>
      </c>
      <c r="D28" s="4">
        <f t="shared" si="0"/>
        <v>1.3</v>
      </c>
      <c r="E28" s="3">
        <v>0.63246292180432362</v>
      </c>
      <c r="F28" s="4">
        <v>18.84</v>
      </c>
    </row>
    <row r="29" spans="1:6">
      <c r="A29" s="6" t="s">
        <v>179</v>
      </c>
      <c r="B29">
        <v>558.6</v>
      </c>
      <c r="C29">
        <v>505</v>
      </c>
      <c r="D29" s="4">
        <f t="shared" si="0"/>
        <v>1.1061386138613862</v>
      </c>
      <c r="E29" s="3">
        <v>0.6393133904560957</v>
      </c>
      <c r="F29" s="4">
        <v>20.368000000000002</v>
      </c>
    </row>
    <row r="30" spans="1:6">
      <c r="A30" s="6" t="s">
        <v>180</v>
      </c>
      <c r="B30">
        <v>539</v>
      </c>
      <c r="C30">
        <v>432</v>
      </c>
      <c r="D30" s="4">
        <f t="shared" si="0"/>
        <v>1.2476851851851851</v>
      </c>
      <c r="E30" s="3">
        <v>0.67773573972872381</v>
      </c>
      <c r="F30" s="4">
        <v>29.28</v>
      </c>
    </row>
    <row r="31" spans="1:6">
      <c r="A31" s="6" t="s">
        <v>181</v>
      </c>
      <c r="B31">
        <v>754.6</v>
      </c>
      <c r="C31">
        <v>651</v>
      </c>
      <c r="D31" s="4">
        <f t="shared" si="0"/>
        <v>1.1591397849462366</v>
      </c>
      <c r="E31" s="3">
        <v>0.73527098208703945</v>
      </c>
      <c r="F31" s="4">
        <v>18.84</v>
      </c>
    </row>
    <row r="32" spans="1:6">
      <c r="A32" s="6" t="s">
        <v>182</v>
      </c>
      <c r="B32">
        <v>548.79999999999995</v>
      </c>
      <c r="C32">
        <v>530</v>
      </c>
      <c r="D32" s="4">
        <f t="shared" si="0"/>
        <v>1.0354716981132075</v>
      </c>
      <c r="E32" s="3">
        <v>0.73527098208703945</v>
      </c>
      <c r="F32" s="4">
        <v>18.84</v>
      </c>
    </row>
    <row r="33" spans="1:6">
      <c r="A33" s="6" t="s">
        <v>183</v>
      </c>
      <c r="B33">
        <v>510.6</v>
      </c>
      <c r="C33">
        <v>405</v>
      </c>
      <c r="D33" s="4">
        <f t="shared" si="0"/>
        <v>1.2607407407407407</v>
      </c>
      <c r="E33" s="3">
        <v>0.73527098208703945</v>
      </c>
      <c r="F33" s="4">
        <v>18.84</v>
      </c>
    </row>
    <row r="34" spans="1:6">
      <c r="A34" s="6" t="s">
        <v>184</v>
      </c>
      <c r="B34">
        <v>1014.3</v>
      </c>
      <c r="C34">
        <v>845</v>
      </c>
      <c r="D34" s="4">
        <f t="shared" si="0"/>
        <v>1.2003550295857988</v>
      </c>
      <c r="E34" s="3">
        <v>0.61672441532571176</v>
      </c>
      <c r="F34" s="4">
        <v>15.375999999999999</v>
      </c>
    </row>
    <row r="35" spans="1:6">
      <c r="A35" s="6" t="s">
        <v>185</v>
      </c>
      <c r="B35">
        <v>803.6</v>
      </c>
      <c r="C35">
        <v>701</v>
      </c>
      <c r="D35" s="4">
        <f t="shared" si="0"/>
        <v>1.1463623395149787</v>
      </c>
      <c r="E35" s="3">
        <v>0.61672441532571176</v>
      </c>
      <c r="F35" s="4">
        <v>15.375999999999999</v>
      </c>
    </row>
    <row r="36" spans="1:6">
      <c r="A36" s="6" t="s">
        <v>186</v>
      </c>
      <c r="B36">
        <v>735</v>
      </c>
      <c r="C36">
        <v>621</v>
      </c>
      <c r="D36" s="4">
        <f t="shared" si="0"/>
        <v>1.1835748792270531</v>
      </c>
      <c r="E36" s="3">
        <v>0.61549076756660259</v>
      </c>
      <c r="F36" s="4">
        <v>15.008000000000003</v>
      </c>
    </row>
    <row r="37" spans="1:6">
      <c r="A37" s="6" t="s">
        <v>187</v>
      </c>
      <c r="B37">
        <v>555.70000000000005</v>
      </c>
      <c r="C37">
        <v>513</v>
      </c>
      <c r="D37" s="4">
        <f t="shared" si="0"/>
        <v>1.0832358674463938</v>
      </c>
      <c r="E37" s="3">
        <v>0.61549076756660259</v>
      </c>
      <c r="F37" s="4">
        <v>15.008000000000003</v>
      </c>
    </row>
    <row r="38" spans="1:6">
      <c r="A38" s="6" t="s">
        <v>188</v>
      </c>
      <c r="B38">
        <v>1793.4</v>
      </c>
      <c r="C38">
        <v>1477</v>
      </c>
      <c r="D38" s="4">
        <f t="shared" si="0"/>
        <v>1.214218009478673</v>
      </c>
      <c r="E38" s="3">
        <v>0.44636439587282273</v>
      </c>
      <c r="F38" s="4">
        <v>21.416</v>
      </c>
    </row>
    <row r="39" spans="1:6">
      <c r="A39" s="6" t="s">
        <v>189</v>
      </c>
      <c r="B39">
        <v>1425.9</v>
      </c>
      <c r="C39">
        <v>1204</v>
      </c>
      <c r="D39" s="4">
        <f t="shared" si="0"/>
        <v>1.1843023255813954</v>
      </c>
      <c r="E39" s="3">
        <v>0.43672177102368237</v>
      </c>
      <c r="F39" s="4">
        <v>18.231999999999999</v>
      </c>
    </row>
    <row r="40" spans="1:6">
      <c r="A40" s="6" t="s">
        <v>190</v>
      </c>
      <c r="B40">
        <v>1200.5</v>
      </c>
      <c r="C40">
        <v>994</v>
      </c>
      <c r="D40" s="4">
        <f t="shared" si="0"/>
        <v>1.2077464788732395</v>
      </c>
      <c r="E40" s="3">
        <v>0.44636439587282273</v>
      </c>
      <c r="F40" s="4">
        <v>21.416</v>
      </c>
    </row>
    <row r="41" spans="1:6">
      <c r="A41" s="9" t="s">
        <v>191</v>
      </c>
      <c r="B41">
        <v>1481</v>
      </c>
      <c r="C41">
        <v>827</v>
      </c>
      <c r="D41" s="4">
        <f t="shared" si="0"/>
        <v>1.7908101571946795</v>
      </c>
      <c r="E41" s="3">
        <v>1.2217411757422663</v>
      </c>
      <c r="F41">
        <v>20.34</v>
      </c>
    </row>
    <row r="42" spans="1:6">
      <c r="A42" s="6" t="s">
        <v>192</v>
      </c>
      <c r="B42">
        <v>2126</v>
      </c>
      <c r="C42">
        <v>1804</v>
      </c>
      <c r="D42" s="4">
        <f t="shared" si="0"/>
        <v>1.1784922394678492</v>
      </c>
      <c r="E42" s="3">
        <v>0.83873492320844489</v>
      </c>
      <c r="F42">
        <v>20.34</v>
      </c>
    </row>
    <row r="43" spans="1:6">
      <c r="A43" s="6" t="s">
        <v>193</v>
      </c>
      <c r="B43">
        <v>2939</v>
      </c>
      <c r="C43">
        <v>2883</v>
      </c>
      <c r="D43" s="4">
        <f t="shared" si="0"/>
        <v>1.0194242108914324</v>
      </c>
      <c r="E43" s="3">
        <v>0.63505705933526435</v>
      </c>
      <c r="F43">
        <v>20.34</v>
      </c>
    </row>
    <row r="44" spans="1:6">
      <c r="A44" s="6" t="s">
        <v>194</v>
      </c>
      <c r="B44">
        <v>3062</v>
      </c>
      <c r="C44">
        <v>3967</v>
      </c>
      <c r="D44" s="4">
        <f t="shared" si="0"/>
        <v>0.77186791025964208</v>
      </c>
      <c r="E44" s="3">
        <v>0.50911410848114147</v>
      </c>
      <c r="F44">
        <v>20.34</v>
      </c>
    </row>
    <row r="45" spans="1:6">
      <c r="A45" s="9" t="s">
        <v>195</v>
      </c>
      <c r="B45">
        <v>872</v>
      </c>
      <c r="C45">
        <v>855</v>
      </c>
      <c r="D45" s="4">
        <f t="shared" si="0"/>
        <v>1.0198830409356725</v>
      </c>
      <c r="E45" s="3">
        <v>0.20061288528597068</v>
      </c>
      <c r="F45">
        <v>18.46</v>
      </c>
    </row>
    <row r="46" spans="1:6">
      <c r="A46">
        <v>2</v>
      </c>
      <c r="B46">
        <v>812</v>
      </c>
      <c r="C46">
        <v>855</v>
      </c>
      <c r="D46" s="4">
        <f t="shared" si="0"/>
        <v>0.94970760233918128</v>
      </c>
      <c r="E46" s="3">
        <v>0.20061288528597068</v>
      </c>
      <c r="F46">
        <v>18.46</v>
      </c>
    </row>
    <row r="47" spans="1:6">
      <c r="A47">
        <v>3</v>
      </c>
      <c r="B47">
        <v>646</v>
      </c>
      <c r="C47">
        <v>741</v>
      </c>
      <c r="D47" s="4">
        <f t="shared" si="0"/>
        <v>0.87179487179487181</v>
      </c>
      <c r="E47" s="3">
        <v>0.20061288528597068</v>
      </c>
      <c r="F47">
        <v>18.46</v>
      </c>
    </row>
    <row r="48" spans="1:6">
      <c r="A48">
        <v>4</v>
      </c>
      <c r="B48">
        <v>610</v>
      </c>
      <c r="C48">
        <v>741</v>
      </c>
      <c r="D48" s="4">
        <f t="shared" si="0"/>
        <v>0.82321187584345479</v>
      </c>
      <c r="E48" s="3">
        <v>0.20061288528597068</v>
      </c>
      <c r="F48">
        <v>18.46</v>
      </c>
    </row>
    <row r="49" spans="1:6">
      <c r="A49">
        <v>5</v>
      </c>
      <c r="B49">
        <v>670</v>
      </c>
      <c r="C49">
        <v>772</v>
      </c>
      <c r="D49" s="4">
        <f t="shared" si="0"/>
        <v>0.86787564766839376</v>
      </c>
      <c r="E49" s="3">
        <v>0.60183865585791207</v>
      </c>
      <c r="F49">
        <v>18.46</v>
      </c>
    </row>
    <row r="50" spans="1:6">
      <c r="A50">
        <v>6</v>
      </c>
      <c r="B50">
        <v>635</v>
      </c>
      <c r="C50">
        <v>774</v>
      </c>
      <c r="D50" s="4">
        <f t="shared" si="0"/>
        <v>0.82041343669250644</v>
      </c>
      <c r="E50" s="3">
        <v>0.60183865585791207</v>
      </c>
      <c r="F50">
        <v>18.46</v>
      </c>
    </row>
    <row r="51" spans="1:6">
      <c r="A51" s="9" t="s">
        <v>196</v>
      </c>
      <c r="B51">
        <v>1450</v>
      </c>
      <c r="C51">
        <v>2009</v>
      </c>
      <c r="D51" s="4">
        <f t="shared" si="0"/>
        <v>0.72175211548033846</v>
      </c>
      <c r="E51" s="3">
        <v>0.48262195971668448</v>
      </c>
      <c r="F51">
        <v>46.8</v>
      </c>
    </row>
    <row r="52" spans="1:6">
      <c r="A52" s="6" t="s">
        <v>197</v>
      </c>
      <c r="B52">
        <v>1415</v>
      </c>
      <c r="C52">
        <v>2012</v>
      </c>
      <c r="D52" s="4">
        <f t="shared" si="0"/>
        <v>0.70328031809145131</v>
      </c>
      <c r="E52" s="3">
        <v>0.48262195971668448</v>
      </c>
      <c r="F52">
        <v>46.8</v>
      </c>
    </row>
    <row r="53" spans="1:6">
      <c r="A53" s="6" t="s">
        <v>198</v>
      </c>
      <c r="B53">
        <v>1502</v>
      </c>
      <c r="C53">
        <v>2009</v>
      </c>
      <c r="D53" s="4">
        <f t="shared" si="0"/>
        <v>0.74763563962170232</v>
      </c>
      <c r="E53" s="3">
        <v>0.48262195971668448</v>
      </c>
      <c r="F53">
        <v>46.8</v>
      </c>
    </row>
    <row r="54" spans="1:6">
      <c r="A54" s="6" t="s">
        <v>199</v>
      </c>
      <c r="B54">
        <v>1535</v>
      </c>
      <c r="C54">
        <v>2007</v>
      </c>
      <c r="D54" s="4">
        <f t="shared" si="0"/>
        <v>0.76482311908320877</v>
      </c>
      <c r="E54" s="3">
        <v>0.48262195971668448</v>
      </c>
      <c r="F54">
        <v>46.8</v>
      </c>
    </row>
    <row r="55" spans="1:6">
      <c r="A55" s="6" t="s">
        <v>200</v>
      </c>
      <c r="B55">
        <v>1620</v>
      </c>
      <c r="C55">
        <v>2005</v>
      </c>
      <c r="D55" s="4">
        <f t="shared" si="0"/>
        <v>0.80798004987531169</v>
      </c>
      <c r="E55" s="3">
        <v>0.48262195971668448</v>
      </c>
      <c r="F55">
        <v>46.8</v>
      </c>
    </row>
  </sheetData>
  <mergeCells count="2">
    <mergeCell ref="A1:F1"/>
    <mergeCell ref="C2:E2"/>
  </mergeCells>
  <phoneticPr fontId="0" type="noConversion"/>
  <pageMargins left="0.75" right="0.75" top="1" bottom="1" header="0.5" footer="0.5"/>
  <pageSetup paperSize="9" orientation="portrait" horizontalDpi="30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Goode</dc:creator>
  <cp:keywords/>
  <dc:description/>
  <cp:lastModifiedBy>X</cp:lastModifiedBy>
  <cp:revision/>
  <dcterms:created xsi:type="dcterms:W3CDTF">2006-11-10T10:22:56Z</dcterms:created>
  <dcterms:modified xsi:type="dcterms:W3CDTF">2018-11-12T15:47:39Z</dcterms:modified>
  <cp:category/>
  <cp:contentStatus/>
</cp:coreProperties>
</file>