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427\"/>
    </mc:Choice>
  </mc:AlternateContent>
  <xr:revisionPtr revIDLastSave="0" documentId="8_{424971CE-3941-4232-A5F0-EC72935CC810}" xr6:coauthVersionLast="40" xr6:coauthVersionMax="40" xr10:uidLastSave="{00000000-0000-0000-0000-000000000000}"/>
  <bookViews>
    <workbookView xWindow="32760" yWindow="32760" windowWidth="11340" windowHeight="6540" firstSheet="1" activeTab="1" xr2:uid="{00000000-000D-0000-FFFF-FFFF00000000}"/>
  </bookViews>
  <sheets>
    <sheet name="Data" sheetId="1" r:id="rId1"/>
    <sheet name="Summary" sheetId="2" r:id="rId2"/>
    <sheet name="Graph EC4" sheetId="4" r:id="rId3"/>
    <sheet name="v Preload" sheetId="5" r:id="rId4"/>
    <sheet name="v slend." sheetId="6" r:id="rId5"/>
  </sheets>
  <calcPr calcId="179020" calcCompleted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Y8" i="1"/>
  <c r="Z8" i="1"/>
  <c r="AA8" i="1"/>
  <c r="AB8" i="1"/>
  <c r="P8" i="1"/>
  <c r="AC8" i="1"/>
  <c r="AD8" i="1"/>
  <c r="K8" i="1"/>
  <c r="L8" i="1"/>
  <c r="M8" i="1"/>
  <c r="Q8" i="1"/>
  <c r="AE8" i="1"/>
  <c r="AF8" i="1"/>
  <c r="R8" i="1"/>
  <c r="S8" i="1"/>
  <c r="W8" i="1"/>
  <c r="J9" i="1"/>
  <c r="Y9" i="1"/>
  <c r="Z9" i="1"/>
  <c r="AA9" i="1"/>
  <c r="AB9" i="1"/>
  <c r="P9" i="1"/>
  <c r="AC9" i="1"/>
  <c r="AD9" i="1"/>
  <c r="K9" i="1"/>
  <c r="L9" i="1"/>
  <c r="M9" i="1"/>
  <c r="Q9" i="1"/>
  <c r="AE9" i="1"/>
  <c r="AF9" i="1"/>
  <c r="R9" i="1"/>
  <c r="S9" i="1"/>
  <c r="W9" i="1"/>
  <c r="J10" i="1"/>
  <c r="Y10" i="1"/>
  <c r="Z10" i="1"/>
  <c r="AA10" i="1"/>
  <c r="AB10" i="1"/>
  <c r="P10" i="1"/>
  <c r="AC10" i="1"/>
  <c r="AD10" i="1"/>
  <c r="K10" i="1"/>
  <c r="L10" i="1"/>
  <c r="M10" i="1"/>
  <c r="Q10" i="1"/>
  <c r="AE10" i="1"/>
  <c r="AF10" i="1"/>
  <c r="R10" i="1"/>
  <c r="S10" i="1"/>
  <c r="W10" i="1"/>
  <c r="J11" i="1"/>
  <c r="Y11" i="1"/>
  <c r="Z11" i="1"/>
  <c r="AA11" i="1"/>
  <c r="AB11" i="1"/>
  <c r="P11" i="1"/>
  <c r="AC11" i="1"/>
  <c r="AD11" i="1"/>
  <c r="K11" i="1"/>
  <c r="L11" i="1"/>
  <c r="M11" i="1"/>
  <c r="Q11" i="1"/>
  <c r="AE11" i="1"/>
  <c r="AF11" i="1"/>
  <c r="R11" i="1"/>
  <c r="S11" i="1"/>
  <c r="W11" i="1"/>
  <c r="J12" i="1"/>
  <c r="Y12" i="1"/>
  <c r="Z12" i="1"/>
  <c r="AA12" i="1"/>
  <c r="AB12" i="1"/>
  <c r="P12" i="1"/>
  <c r="AC12" i="1"/>
  <c r="AD12" i="1"/>
  <c r="K12" i="1"/>
  <c r="L12" i="1"/>
  <c r="M12" i="1"/>
  <c r="Q12" i="1"/>
  <c r="AE12" i="1"/>
  <c r="AF12" i="1"/>
  <c r="R12" i="1"/>
  <c r="S12" i="1"/>
  <c r="W12" i="1"/>
  <c r="J13" i="1"/>
  <c r="Y13" i="1"/>
  <c r="Z13" i="1"/>
  <c r="AA13" i="1"/>
  <c r="AB13" i="1"/>
  <c r="P13" i="1"/>
  <c r="AC13" i="1"/>
  <c r="AD13" i="1"/>
  <c r="K13" i="1"/>
  <c r="L13" i="1"/>
  <c r="M13" i="1"/>
  <c r="Q13" i="1"/>
  <c r="AE13" i="1"/>
  <c r="AF13" i="1"/>
  <c r="R13" i="1"/>
  <c r="S13" i="1"/>
  <c r="W13" i="1"/>
  <c r="J14" i="1"/>
  <c r="Y14" i="1"/>
  <c r="Z14" i="1"/>
  <c r="AA14" i="1"/>
  <c r="AB14" i="1"/>
  <c r="P14" i="1"/>
  <c r="AC14" i="1"/>
  <c r="AD14" i="1"/>
  <c r="K14" i="1"/>
  <c r="L14" i="1"/>
  <c r="M14" i="1"/>
  <c r="Q14" i="1"/>
  <c r="AE14" i="1"/>
  <c r="AF14" i="1"/>
  <c r="R14" i="1"/>
  <c r="S14" i="1"/>
  <c r="W14" i="1"/>
  <c r="J15" i="1"/>
  <c r="Y15" i="1"/>
  <c r="Z15" i="1"/>
  <c r="AA15" i="1"/>
  <c r="AB15" i="1"/>
  <c r="P15" i="1"/>
  <c r="AC15" i="1"/>
  <c r="AD15" i="1"/>
  <c r="K15" i="1"/>
  <c r="L15" i="1"/>
  <c r="M15" i="1"/>
  <c r="Q15" i="1"/>
  <c r="AE15" i="1"/>
  <c r="AF15" i="1"/>
  <c r="R15" i="1"/>
  <c r="S15" i="1"/>
  <c r="W15" i="1"/>
  <c r="J16" i="1"/>
  <c r="Y16" i="1"/>
  <c r="Z16" i="1"/>
  <c r="AA16" i="1"/>
  <c r="AB16" i="1"/>
  <c r="P16" i="1"/>
  <c r="AC16" i="1"/>
  <c r="AD16" i="1"/>
  <c r="K16" i="1"/>
  <c r="L16" i="1"/>
  <c r="M16" i="1"/>
  <c r="Q16" i="1"/>
  <c r="AE16" i="1"/>
  <c r="AF16" i="1"/>
  <c r="R16" i="1"/>
  <c r="S16" i="1"/>
  <c r="W16" i="1"/>
  <c r="J17" i="1"/>
  <c r="Y17" i="1"/>
  <c r="Z17" i="1"/>
  <c r="AA17" i="1"/>
  <c r="AB17" i="1"/>
  <c r="P17" i="1"/>
  <c r="AC17" i="1"/>
  <c r="AD17" i="1"/>
  <c r="K17" i="1"/>
  <c r="L17" i="1"/>
  <c r="M17" i="1"/>
  <c r="Q17" i="1"/>
  <c r="AE17" i="1"/>
  <c r="AF17" i="1"/>
  <c r="R17" i="1"/>
  <c r="S17" i="1"/>
  <c r="W17" i="1"/>
  <c r="J18" i="1"/>
  <c r="Y18" i="1"/>
  <c r="Z18" i="1"/>
  <c r="AA18" i="1"/>
  <c r="AB18" i="1"/>
  <c r="P18" i="1"/>
  <c r="AC18" i="1"/>
  <c r="AD18" i="1"/>
  <c r="K18" i="1"/>
  <c r="L18" i="1"/>
  <c r="M18" i="1"/>
  <c r="Q18" i="1"/>
  <c r="AE18" i="1"/>
  <c r="AF18" i="1"/>
  <c r="R18" i="1"/>
  <c r="S18" i="1"/>
  <c r="W18" i="1"/>
  <c r="J19" i="1"/>
  <c r="Y19" i="1"/>
  <c r="Z19" i="1"/>
  <c r="AA19" i="1"/>
  <c r="AB19" i="1"/>
  <c r="P19" i="1"/>
  <c r="AC19" i="1"/>
  <c r="AD19" i="1"/>
  <c r="K19" i="1"/>
  <c r="L19" i="1"/>
  <c r="M19" i="1"/>
  <c r="Q19" i="1"/>
  <c r="AE19" i="1"/>
  <c r="AF19" i="1"/>
  <c r="R19" i="1"/>
  <c r="S19" i="1"/>
  <c r="W19" i="1"/>
  <c r="J20" i="1"/>
  <c r="Y20" i="1"/>
  <c r="Z20" i="1"/>
  <c r="AA20" i="1"/>
  <c r="AB20" i="1"/>
  <c r="P20" i="1"/>
  <c r="AC20" i="1"/>
  <c r="AD20" i="1"/>
  <c r="K20" i="1"/>
  <c r="L20" i="1"/>
  <c r="M20" i="1"/>
  <c r="Q20" i="1"/>
  <c r="AE20" i="1"/>
  <c r="AF20" i="1"/>
  <c r="R20" i="1"/>
  <c r="S20" i="1"/>
  <c r="W20" i="1"/>
  <c r="J21" i="1"/>
  <c r="Y21" i="1"/>
  <c r="Z21" i="1"/>
  <c r="AA21" i="1"/>
  <c r="AB21" i="1"/>
  <c r="P21" i="1"/>
  <c r="AC21" i="1"/>
  <c r="AD21" i="1"/>
  <c r="K21" i="1"/>
  <c r="L21" i="1"/>
  <c r="M21" i="1"/>
  <c r="Q21" i="1"/>
  <c r="AE21" i="1"/>
  <c r="AF21" i="1"/>
  <c r="R21" i="1"/>
  <c r="S21" i="1"/>
  <c r="W21" i="1"/>
  <c r="J22" i="1"/>
  <c r="Y22" i="1"/>
  <c r="Z22" i="1"/>
  <c r="AA22" i="1"/>
  <c r="AB22" i="1"/>
  <c r="P22" i="1"/>
  <c r="AC22" i="1"/>
  <c r="AD22" i="1"/>
  <c r="K22" i="1"/>
  <c r="L22" i="1"/>
  <c r="M22" i="1"/>
  <c r="Q22" i="1"/>
  <c r="AE22" i="1"/>
  <c r="AF22" i="1"/>
  <c r="R22" i="1"/>
  <c r="S22" i="1"/>
  <c r="W22" i="1"/>
  <c r="J23" i="1"/>
  <c r="Y23" i="1"/>
  <c r="Z23" i="1"/>
  <c r="AA23" i="1"/>
  <c r="AB23" i="1"/>
  <c r="P23" i="1"/>
  <c r="AC23" i="1"/>
  <c r="AD23" i="1"/>
  <c r="K23" i="1"/>
  <c r="L23" i="1"/>
  <c r="M23" i="1"/>
  <c r="Q23" i="1"/>
  <c r="AE23" i="1"/>
  <c r="AF23" i="1"/>
  <c r="R23" i="1"/>
  <c r="S23" i="1"/>
  <c r="W23" i="1"/>
  <c r="J24" i="1"/>
  <c r="Y24" i="1"/>
  <c r="Z24" i="1"/>
  <c r="AA24" i="1"/>
  <c r="AB24" i="1"/>
  <c r="P24" i="1"/>
  <c r="AC24" i="1"/>
  <c r="AD24" i="1"/>
  <c r="K24" i="1"/>
  <c r="L24" i="1"/>
  <c r="M24" i="1"/>
  <c r="Q24" i="1"/>
  <c r="AE24" i="1"/>
  <c r="AF24" i="1"/>
  <c r="R24" i="1"/>
  <c r="S24" i="1"/>
  <c r="W24" i="1"/>
  <c r="J25" i="1"/>
  <c r="Y25" i="1"/>
  <c r="Z25" i="1"/>
  <c r="AA25" i="1"/>
  <c r="AB25" i="1"/>
  <c r="P25" i="1"/>
  <c r="AC25" i="1"/>
  <c r="AD25" i="1"/>
  <c r="K25" i="1"/>
  <c r="L25" i="1"/>
  <c r="M25" i="1"/>
  <c r="Q25" i="1"/>
  <c r="AE25" i="1"/>
  <c r="AF25" i="1"/>
  <c r="R25" i="1"/>
  <c r="S25" i="1"/>
  <c r="W25" i="1"/>
  <c r="J26" i="1"/>
  <c r="Y26" i="1"/>
  <c r="Z26" i="1"/>
  <c r="AA26" i="1"/>
  <c r="AB26" i="1"/>
  <c r="P26" i="1"/>
  <c r="AC26" i="1"/>
  <c r="AD26" i="1"/>
  <c r="K26" i="1"/>
  <c r="L26" i="1"/>
  <c r="M26" i="1"/>
  <c r="Q26" i="1"/>
  <c r="AE26" i="1"/>
  <c r="AF26" i="1"/>
  <c r="R26" i="1"/>
  <c r="S26" i="1"/>
  <c r="W26" i="1"/>
  <c r="Y27" i="1"/>
  <c r="Z27" i="1"/>
  <c r="AA27" i="1"/>
  <c r="AB27" i="1"/>
  <c r="AC27" i="1"/>
  <c r="AD27" i="1"/>
  <c r="AE27" i="1"/>
  <c r="AF27" i="1"/>
  <c r="M28" i="1"/>
  <c r="T8" i="2"/>
  <c r="T9" i="2"/>
  <c r="O10" i="2"/>
  <c r="T10" i="2"/>
  <c r="O11" i="2"/>
  <c r="T11" i="2"/>
  <c r="O12" i="2"/>
  <c r="T12" i="2"/>
  <c r="O13" i="2"/>
  <c r="T13" i="2"/>
  <c r="O14" i="2"/>
  <c r="T14" i="2"/>
  <c r="O15" i="2"/>
  <c r="T15" i="2"/>
  <c r="O16" i="2"/>
  <c r="T16" i="2"/>
  <c r="O17" i="2"/>
  <c r="T17" i="2"/>
  <c r="O18" i="2"/>
  <c r="T18" i="2"/>
  <c r="O19" i="2"/>
  <c r="T19" i="2"/>
  <c r="O20" i="2"/>
  <c r="T20" i="2"/>
  <c r="O21" i="2"/>
  <c r="T21" i="2"/>
  <c r="O22" i="2"/>
  <c r="T22" i="2"/>
  <c r="O23" i="2"/>
  <c r="T23" i="2"/>
  <c r="O24" i="2"/>
  <c r="T24" i="2"/>
  <c r="O25" i="2"/>
  <c r="T25" i="2"/>
  <c r="O26" i="2"/>
  <c r="T26" i="2"/>
  <c r="T27" i="2"/>
  <c r="T28" i="2"/>
  <c r="T30" i="2"/>
  <c r="T31" i="2"/>
  <c r="T32" i="2"/>
  <c r="N28" i="1" a="1"/>
  <c r="N28" i="1"/>
</calcChain>
</file>

<file path=xl/sharedStrings.xml><?xml version="1.0" encoding="utf-8"?>
<sst xmlns="http://schemas.openxmlformats.org/spreadsheetml/2006/main" count="170" uniqueCount="95">
  <si>
    <t>Long and Short Square and Rectangular Tube Columns</t>
  </si>
  <si>
    <t>with Moment and Preload</t>
  </si>
  <si>
    <t>Preload applied to the steel tube before filling.</t>
  </si>
  <si>
    <t>Data</t>
  </si>
  <si>
    <r>
      <t>d</t>
    </r>
    <r>
      <rPr>
        <sz val="10"/>
        <rFont val="Arial"/>
        <family val="2"/>
      </rPr>
      <t>o = lateral deflection at peak load estimated from graph</t>
    </r>
  </si>
  <si>
    <t>local</t>
  </si>
  <si>
    <t>Test</t>
  </si>
  <si>
    <r>
      <t>N</t>
    </r>
    <r>
      <rPr>
        <sz val="10"/>
        <rFont val="Arial"/>
      </rPr>
      <t>plRd</t>
    </r>
  </si>
  <si>
    <r>
      <t>ChiN</t>
    </r>
    <r>
      <rPr>
        <sz val="10"/>
        <rFont val="Arial"/>
        <family val="2"/>
      </rPr>
      <t>plR</t>
    </r>
  </si>
  <si>
    <t>d</t>
  </si>
  <si>
    <t>|&lt;---</t>
  </si>
  <si>
    <t>suplement</t>
  </si>
  <si>
    <t>ary</t>
  </si>
  <si>
    <t>calculation</t>
  </si>
  <si>
    <t>---&gt;|</t>
  </si>
  <si>
    <t>Ref. No.</t>
  </si>
  <si>
    <t>b</t>
  </si>
  <si>
    <t>h</t>
  </si>
  <si>
    <t>t</t>
  </si>
  <si>
    <t>Yield</t>
  </si>
  <si>
    <t>Es</t>
  </si>
  <si>
    <t>fcyl</t>
  </si>
  <si>
    <t>Ec</t>
  </si>
  <si>
    <t>Length</t>
  </si>
  <si>
    <t>L/b</t>
  </si>
  <si>
    <t>Slender-</t>
  </si>
  <si>
    <t>h/t</t>
  </si>
  <si>
    <t>buckling</t>
  </si>
  <si>
    <t>Nmax</t>
  </si>
  <si>
    <r>
      <t>d</t>
    </r>
    <r>
      <rPr>
        <sz val="10"/>
        <rFont val="Arial"/>
        <family val="2"/>
      </rPr>
      <t>o</t>
    </r>
  </si>
  <si>
    <t>EC4</t>
  </si>
  <si>
    <t>et</t>
  </si>
  <si>
    <t>eb</t>
  </si>
  <si>
    <t>Pre-load</t>
  </si>
  <si>
    <t>Asfy</t>
  </si>
  <si>
    <t>Bc</t>
  </si>
  <si>
    <t>Hc</t>
  </si>
  <si>
    <t>Ac</t>
  </si>
  <si>
    <t>As</t>
  </si>
  <si>
    <t>(EI)e</t>
  </si>
  <si>
    <t>Ncr</t>
  </si>
  <si>
    <t>phi</t>
  </si>
  <si>
    <t>Chi</t>
  </si>
  <si>
    <t>mm</t>
  </si>
  <si>
    <t>Mpa</t>
  </si>
  <si>
    <t>Gpa</t>
  </si>
  <si>
    <t>ness</t>
  </si>
  <si>
    <t>if &gt; 1</t>
  </si>
  <si>
    <t>kN</t>
  </si>
  <si>
    <t>Short</t>
  </si>
  <si>
    <t>Long</t>
  </si>
  <si>
    <t>Npl,Rd</t>
  </si>
  <si>
    <t>mm2</t>
  </si>
  <si>
    <t>kNmm^2</t>
  </si>
  <si>
    <t>Han &amp; Yao</t>
  </si>
  <si>
    <t>Ref. 70</t>
  </si>
  <si>
    <t>*</t>
  </si>
  <si>
    <t>S-1</t>
  </si>
  <si>
    <t>SP-1</t>
  </si>
  <si>
    <t>S-2</t>
  </si>
  <si>
    <t>SP-2</t>
  </si>
  <si>
    <t>S-3</t>
  </si>
  <si>
    <t>SP-3</t>
  </si>
  <si>
    <t>S-4</t>
  </si>
  <si>
    <t>SP-4</t>
  </si>
  <si>
    <t>SP-5</t>
  </si>
  <si>
    <t>SP-6</t>
  </si>
  <si>
    <t>L2</t>
  </si>
  <si>
    <t>LP-2</t>
  </si>
  <si>
    <t>L-1</t>
  </si>
  <si>
    <t>LP-1</t>
  </si>
  <si>
    <t>LP-3</t>
  </si>
  <si>
    <t>LP-4</t>
  </si>
  <si>
    <t>L-5</t>
  </si>
  <si>
    <t>LP-6</t>
  </si>
  <si>
    <t>LP-7</t>
  </si>
  <si>
    <t>loc B &gt;1</t>
  </si>
  <si>
    <t>All</t>
  </si>
  <si>
    <t>Long Square and Rectangular Tube Columns</t>
  </si>
  <si>
    <t>Preload applied to the steel before filling.</t>
  </si>
  <si>
    <t>Summary</t>
  </si>
  <si>
    <t>Test Result</t>
  </si>
  <si>
    <t>EC4 from Graph</t>
  </si>
  <si>
    <t>Ratio</t>
  </si>
  <si>
    <t>M (N*e)</t>
  </si>
  <si>
    <t>N</t>
  </si>
  <si>
    <t>M</t>
  </si>
  <si>
    <r>
      <t>N</t>
    </r>
    <r>
      <rPr>
        <u/>
        <sz val="10"/>
        <rFont val="Arial"/>
        <family val="2"/>
      </rPr>
      <t>test</t>
    </r>
  </si>
  <si>
    <t>kNm</t>
  </si>
  <si>
    <r>
      <t>N</t>
    </r>
    <r>
      <rPr>
        <sz val="10"/>
        <rFont val="Arial"/>
        <family val="2"/>
      </rPr>
      <t>EC4</t>
    </r>
  </si>
  <si>
    <t>Av (19)=</t>
  </si>
  <si>
    <t>St Dev</t>
  </si>
  <si>
    <t>Tot No.</t>
  </si>
  <si>
    <t>No. &lt; 1</t>
  </si>
  <si>
    <t>% &lt;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</si>
</sst>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  <font>
      <u/>
      <sz val="10"/>
      <name val="Arial"/>
      <family val="2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9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Rectangular  CFST  with  Moment  and  Preload.      Han's  Tests  compared  with  EC4.</a:t>
            </a:r>
          </a:p>
        </c:rich>
      </c:tx>
      <c:layout>
        <c:manualLayout>
          <c:xMode val="edge"/>
          <c:yMode val="edge"/>
          <c:x val="0.16204217536071033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81576026637066E-2"/>
          <c:y val="0.10440456769983687"/>
          <c:w val="0.87347391786903439"/>
          <c:h val="0.78792822185970635"/>
        </c:manualLayout>
      </c:layout>
      <c:scatterChart>
        <c:scatterStyle val="lineMarker"/>
        <c:varyColors val="0"/>
        <c:ser>
          <c:idx val="0"/>
          <c:order val="0"/>
          <c:tx>
            <c:v> Han short (10)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Summary!$R$8:$R$17</c:f>
              <c:numCache>
                <c:formatCode>General</c:formatCode>
                <c:ptCount val="10"/>
                <c:pt idx="0">
                  <c:v>635</c:v>
                </c:pt>
                <c:pt idx="1">
                  <c:v>635</c:v>
                </c:pt>
                <c:pt idx="2">
                  <c:v>418</c:v>
                </c:pt>
                <c:pt idx="3">
                  <c:v>418</c:v>
                </c:pt>
                <c:pt idx="4">
                  <c:v>802</c:v>
                </c:pt>
                <c:pt idx="5">
                  <c:v>802</c:v>
                </c:pt>
                <c:pt idx="6">
                  <c:v>585</c:v>
                </c:pt>
                <c:pt idx="7">
                  <c:v>585</c:v>
                </c:pt>
                <c:pt idx="8">
                  <c:v>585</c:v>
                </c:pt>
                <c:pt idx="9">
                  <c:v>497</c:v>
                </c:pt>
              </c:numCache>
            </c:numRef>
          </c:xVal>
          <c:yVal>
            <c:numRef>
              <c:f>Summary!$N$8:$N$17</c:f>
              <c:numCache>
                <c:formatCode>General</c:formatCode>
                <c:ptCount val="10"/>
                <c:pt idx="0">
                  <c:v>640</c:v>
                </c:pt>
                <c:pt idx="1">
                  <c:v>664</c:v>
                </c:pt>
                <c:pt idx="2">
                  <c:v>533</c:v>
                </c:pt>
                <c:pt idx="3">
                  <c:v>538</c:v>
                </c:pt>
                <c:pt idx="4">
                  <c:v>816</c:v>
                </c:pt>
                <c:pt idx="5">
                  <c:v>812</c:v>
                </c:pt>
                <c:pt idx="6">
                  <c:v>600</c:v>
                </c:pt>
                <c:pt idx="7">
                  <c:v>622</c:v>
                </c:pt>
                <c:pt idx="8">
                  <c:v>650</c:v>
                </c:pt>
                <c:pt idx="9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8A-481A-A766-A8C457A0696B}"/>
            </c:ext>
          </c:extLst>
        </c:ser>
        <c:ser>
          <c:idx val="1"/>
          <c:order val="1"/>
          <c:tx>
            <c:v> Han long (9)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Summary!$R$18:$R$26</c:f>
              <c:numCache>
                <c:formatCode>General</c:formatCode>
                <c:ptCount val="9"/>
                <c:pt idx="0">
                  <c:v>758</c:v>
                </c:pt>
                <c:pt idx="1">
                  <c:v>758</c:v>
                </c:pt>
                <c:pt idx="2">
                  <c:v>575</c:v>
                </c:pt>
                <c:pt idx="3">
                  <c:v>575</c:v>
                </c:pt>
                <c:pt idx="4">
                  <c:v>575</c:v>
                </c:pt>
                <c:pt idx="5">
                  <c:v>434</c:v>
                </c:pt>
                <c:pt idx="6">
                  <c:v>427</c:v>
                </c:pt>
                <c:pt idx="7">
                  <c:v>427</c:v>
                </c:pt>
                <c:pt idx="8">
                  <c:v>427</c:v>
                </c:pt>
              </c:numCache>
            </c:numRef>
          </c:xVal>
          <c:yVal>
            <c:numRef>
              <c:f>Summary!$N$18:$N$26</c:f>
              <c:numCache>
                <c:formatCode>General</c:formatCode>
                <c:ptCount val="9"/>
                <c:pt idx="0">
                  <c:v>769</c:v>
                </c:pt>
                <c:pt idx="1">
                  <c:v>730</c:v>
                </c:pt>
                <c:pt idx="2">
                  <c:v>590</c:v>
                </c:pt>
                <c:pt idx="3">
                  <c:v>560</c:v>
                </c:pt>
                <c:pt idx="4">
                  <c:v>552</c:v>
                </c:pt>
                <c:pt idx="5">
                  <c:v>452</c:v>
                </c:pt>
                <c:pt idx="6">
                  <c:v>412</c:v>
                </c:pt>
                <c:pt idx="7">
                  <c:v>397</c:v>
                </c:pt>
                <c:pt idx="8">
                  <c:v>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8A-481A-A766-A8C457A06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361056"/>
        <c:axId val="1"/>
      </c:scatterChart>
      <c:valAx>
        <c:axId val="66136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5837957824639292"/>
              <c:y val="0.94290375203915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4428412874583796E-2"/>
              <c:y val="0.41924959216965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1361056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481687014428414"/>
          <c:y val="0.73246329526916798"/>
          <c:w val="0.24861265260821311"/>
          <c:h val="5.22022838499184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Rectangular  CFST  with  Moment  and  Preload.       Ratio Test/EC4  against  Preload.</a:t>
            </a:r>
          </a:p>
        </c:rich>
      </c:tx>
      <c:layout>
        <c:manualLayout>
          <c:xMode val="edge"/>
          <c:yMode val="edge"/>
          <c:x val="0.16752843846949328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218200620475704E-2"/>
          <c:y val="0.11355932203389831"/>
          <c:w val="0.91416752843846949"/>
          <c:h val="0.7593220338983051"/>
        </c:manualLayout>
      </c:layout>
      <c:scatterChart>
        <c:scatterStyle val="lineMarker"/>
        <c:varyColors val="0"/>
        <c:ser>
          <c:idx val="0"/>
          <c:order val="0"/>
          <c:tx>
            <c:v> Han  short (10)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Summary!$P$8:$P$17</c:f>
              <c:numCache>
                <c:formatCode>General</c:formatCode>
                <c:ptCount val="10"/>
                <c:pt idx="0">
                  <c:v>0</c:v>
                </c:pt>
                <c:pt idx="1">
                  <c:v>211</c:v>
                </c:pt>
                <c:pt idx="2">
                  <c:v>0</c:v>
                </c:pt>
                <c:pt idx="3">
                  <c:v>211</c:v>
                </c:pt>
                <c:pt idx="4">
                  <c:v>0</c:v>
                </c:pt>
                <c:pt idx="5">
                  <c:v>211</c:v>
                </c:pt>
                <c:pt idx="6">
                  <c:v>0</c:v>
                </c:pt>
                <c:pt idx="7">
                  <c:v>211</c:v>
                </c:pt>
                <c:pt idx="8">
                  <c:v>127</c:v>
                </c:pt>
                <c:pt idx="9">
                  <c:v>198</c:v>
                </c:pt>
              </c:numCache>
            </c:numRef>
          </c:xVal>
          <c:yVal>
            <c:numRef>
              <c:f>Summary!$T$8:$T$17</c:f>
              <c:numCache>
                <c:formatCode>0.00</c:formatCode>
                <c:ptCount val="10"/>
                <c:pt idx="0">
                  <c:v>1.0078740157480315</c:v>
                </c:pt>
                <c:pt idx="1">
                  <c:v>1.0456692913385828</c:v>
                </c:pt>
                <c:pt idx="2">
                  <c:v>1.2751196172248804</c:v>
                </c:pt>
                <c:pt idx="3">
                  <c:v>1.2870813397129186</c:v>
                </c:pt>
                <c:pt idx="4">
                  <c:v>1.0174563591022443</c:v>
                </c:pt>
                <c:pt idx="5">
                  <c:v>1.0124688279301746</c:v>
                </c:pt>
                <c:pt idx="6">
                  <c:v>1.0256410256410255</c:v>
                </c:pt>
                <c:pt idx="7">
                  <c:v>1.0632478632478632</c:v>
                </c:pt>
                <c:pt idx="8">
                  <c:v>1.1111111111111112</c:v>
                </c:pt>
                <c:pt idx="9">
                  <c:v>1.0060362173038229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4F-4C2D-A267-C68F254A20CF}"/>
            </c:ext>
          </c:extLst>
        </c:ser>
        <c:ser>
          <c:idx val="1"/>
          <c:order val="1"/>
          <c:tx>
            <c:v> Han long (9)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Summary!$P$18:$P$26</c:f>
              <c:numCache>
                <c:formatCode>General</c:formatCode>
                <c:ptCount val="9"/>
                <c:pt idx="0">
                  <c:v>0</c:v>
                </c:pt>
                <c:pt idx="1">
                  <c:v>194</c:v>
                </c:pt>
                <c:pt idx="2">
                  <c:v>0</c:v>
                </c:pt>
                <c:pt idx="3">
                  <c:v>194</c:v>
                </c:pt>
                <c:pt idx="4">
                  <c:v>272</c:v>
                </c:pt>
                <c:pt idx="5">
                  <c:v>194</c:v>
                </c:pt>
                <c:pt idx="6">
                  <c:v>0</c:v>
                </c:pt>
                <c:pt idx="7">
                  <c:v>117</c:v>
                </c:pt>
                <c:pt idx="8">
                  <c:v>272</c:v>
                </c:pt>
              </c:numCache>
            </c:numRef>
          </c:xVal>
          <c:yVal>
            <c:numRef>
              <c:f>Summary!$T$18:$T$26</c:f>
              <c:numCache>
                <c:formatCode>0.00</c:formatCode>
                <c:ptCount val="9"/>
                <c:pt idx="0">
                  <c:v>1.0145118733509235</c:v>
                </c:pt>
                <c:pt idx="1">
                  <c:v>0.96306068601583117</c:v>
                </c:pt>
                <c:pt idx="2">
                  <c:v>1.0260869565217392</c:v>
                </c:pt>
                <c:pt idx="3">
                  <c:v>0.97391304347826091</c:v>
                </c:pt>
                <c:pt idx="4">
                  <c:v>0.96</c:v>
                </c:pt>
                <c:pt idx="5">
                  <c:v>1.0414746543778801</c:v>
                </c:pt>
                <c:pt idx="6">
                  <c:v>0.96487119437939106</c:v>
                </c:pt>
                <c:pt idx="7">
                  <c:v>0.92974238875878223</c:v>
                </c:pt>
                <c:pt idx="8">
                  <c:v>0.9133489461358314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4F-4C2D-A267-C68F254A2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361472"/>
        <c:axId val="1"/>
      </c:scatterChart>
      <c:valAx>
        <c:axId val="661361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Preload applied to the steel before filling with concrete  kN</a:t>
                </a:r>
              </a:p>
            </c:rich>
          </c:tx>
          <c:layout>
            <c:manualLayout>
              <c:xMode val="edge"/>
              <c:yMode val="edge"/>
              <c:x val="0.32885211995863495"/>
              <c:y val="0.92542372881355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.6"/>
        <c:crossBetween val="midCat"/>
      </c:valAx>
      <c:valAx>
        <c:axId val="1"/>
        <c:scaling>
          <c:orientation val="minMax"/>
          <c:min val="0.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2409513960703205E-2"/>
              <c:y val="0.410169491525423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1361472"/>
        <c:crosses val="autoZero"/>
        <c:crossBetween val="midCat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49741468459153"/>
          <c:y val="0.7830508474576271"/>
          <c:w val="0.25232678386763185"/>
          <c:h val="6.10169491525423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 Rectangular CFST with Moment and Preload.   Ratio Test/EC4 against Slenderness</a:t>
            </a:r>
          </a:p>
        </c:rich>
      </c:tx>
      <c:layout>
        <c:manualLayout>
          <c:xMode val="edge"/>
          <c:yMode val="edge"/>
          <c:x val="0.17092119866814651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251942286348501E-2"/>
          <c:y val="0.12071778140293637"/>
          <c:w val="0.8479467258601554"/>
          <c:h val="0.76998368678629692"/>
        </c:manualLayout>
      </c:layout>
      <c:scatterChart>
        <c:scatterStyle val="lineMarker"/>
        <c:varyColors val="0"/>
        <c:ser>
          <c:idx val="0"/>
          <c:order val="0"/>
          <c:tx>
            <c:v> Han '03 (19)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Summary!$M$8:$M$26</c:f>
              <c:numCache>
                <c:formatCode>0.000</c:formatCode>
                <c:ptCount val="19"/>
                <c:pt idx="0">
                  <c:v>0.10142533305761024</c:v>
                </c:pt>
                <c:pt idx="1">
                  <c:v>0.10142533305761024</c:v>
                </c:pt>
                <c:pt idx="2">
                  <c:v>0.10142533305761024</c:v>
                </c:pt>
                <c:pt idx="3">
                  <c:v>0.10142533305761024</c:v>
                </c:pt>
                <c:pt idx="4">
                  <c:v>0.11291514312974918</c:v>
                </c:pt>
                <c:pt idx="5">
                  <c:v>0.11291514312974918</c:v>
                </c:pt>
                <c:pt idx="6">
                  <c:v>0.11291514312974918</c:v>
                </c:pt>
                <c:pt idx="7">
                  <c:v>0.11291514312974918</c:v>
                </c:pt>
                <c:pt idx="8">
                  <c:v>0.11291514312974918</c:v>
                </c:pt>
                <c:pt idx="9">
                  <c:v>0.11291514312974918</c:v>
                </c:pt>
                <c:pt idx="10">
                  <c:v>0.43911444550458018</c:v>
                </c:pt>
                <c:pt idx="11">
                  <c:v>0.43911444550458018</c:v>
                </c:pt>
                <c:pt idx="12">
                  <c:v>0.43911444550458018</c:v>
                </c:pt>
                <c:pt idx="13">
                  <c:v>0.43911444550458018</c:v>
                </c:pt>
                <c:pt idx="14">
                  <c:v>0.43911444550458018</c:v>
                </c:pt>
                <c:pt idx="15">
                  <c:v>0.43911444550458018</c:v>
                </c:pt>
                <c:pt idx="16">
                  <c:v>0.42213232257750205</c:v>
                </c:pt>
                <c:pt idx="17">
                  <c:v>0.42213232257750205</c:v>
                </c:pt>
                <c:pt idx="18">
                  <c:v>0.42213232257750205</c:v>
                </c:pt>
              </c:numCache>
            </c:numRef>
          </c:xVal>
          <c:yVal>
            <c:numRef>
              <c:f>Summary!$T$8:$T$26</c:f>
              <c:numCache>
                <c:formatCode>0.00</c:formatCode>
                <c:ptCount val="19"/>
                <c:pt idx="0">
                  <c:v>1.0078740157480315</c:v>
                </c:pt>
                <c:pt idx="1">
                  <c:v>1.0456692913385828</c:v>
                </c:pt>
                <c:pt idx="2">
                  <c:v>1.2751196172248804</c:v>
                </c:pt>
                <c:pt idx="3">
                  <c:v>1.2870813397129186</c:v>
                </c:pt>
                <c:pt idx="4">
                  <c:v>1.0174563591022443</c:v>
                </c:pt>
                <c:pt idx="5">
                  <c:v>1.0124688279301746</c:v>
                </c:pt>
                <c:pt idx="6">
                  <c:v>1.0256410256410255</c:v>
                </c:pt>
                <c:pt idx="7">
                  <c:v>1.0632478632478632</c:v>
                </c:pt>
                <c:pt idx="8">
                  <c:v>1.1111111111111112</c:v>
                </c:pt>
                <c:pt idx="9">
                  <c:v>1.0060362173038229</c:v>
                </c:pt>
                <c:pt idx="10">
                  <c:v>1.0145118733509235</c:v>
                </c:pt>
                <c:pt idx="11">
                  <c:v>0.96306068601583117</c:v>
                </c:pt>
                <c:pt idx="12">
                  <c:v>1.0260869565217392</c:v>
                </c:pt>
                <c:pt idx="13">
                  <c:v>0.97391304347826091</c:v>
                </c:pt>
                <c:pt idx="14">
                  <c:v>0.96</c:v>
                </c:pt>
                <c:pt idx="15">
                  <c:v>1.0414746543778801</c:v>
                </c:pt>
                <c:pt idx="16">
                  <c:v>0.96487119437939106</c:v>
                </c:pt>
                <c:pt idx="17">
                  <c:v>0.92974238875878223</c:v>
                </c:pt>
                <c:pt idx="18">
                  <c:v>0.9133489461358314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03-43EE-BA43-76066402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360640"/>
        <c:axId val="1"/>
      </c:scatterChart>
      <c:valAx>
        <c:axId val="6613606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 = SQRT(NplR/Ncrit)</a:t>
                </a:r>
              </a:p>
            </c:rich>
          </c:tx>
          <c:layout>
            <c:manualLayout>
              <c:xMode val="edge"/>
              <c:yMode val="edge"/>
              <c:x val="0.38401775804661487"/>
              <c:y val="0.9412724306688418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in val="0.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4428412874583796E-2"/>
              <c:y val="0.4257748776508972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1360640"/>
        <c:crosses val="autoZero"/>
        <c:crossBetween val="midCat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756936736958935"/>
          <c:y val="0.81076672104404568"/>
          <c:w val="0.12319644839067703"/>
          <c:h val="5.22022838499184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8" workbookViewId="0" xr3:uid="{842E5F09-E766-5B8D-85AF-A39847EA96FD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8" workbookViewId="0" xr3:uid="{51F8DEE0-4D01-5F28-A812-FC0BD7CAC4A5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65" workbookViewId="0" xr3:uid="{F9CF3CF3-643B-5BE6-8B46-32C596A47465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D76D814F-B607-45B1-8123-703C67F1D6E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0.0765</cdr:x>
      <cdr:y>0.10425</cdr:y>
    </cdr:from>
    <cdr:to>
      <cdr:x>0.95</cdr:x>
      <cdr:y>0.89225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AB38D694-195F-41DE-AC2F-EFD6749C693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56525" y="608698"/>
          <a:ext cx="7496399" cy="46009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0BF3672D-8BB4-4A8B-9615-2AB76754E4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0.06425</cdr:x>
      <cdr:y>0.54575</cdr:y>
    </cdr:from>
    <cdr:to>
      <cdr:x>0.9815</cdr:x>
      <cdr:y>0.54875</cdr:y>
    </cdr:to>
    <cdr:sp macro="" textlink="">
      <cdr:nvSpPr>
        <cdr:cNvPr id="2049" name="Line 1">
          <a:extLst xmlns:a="http://schemas.openxmlformats.org/drawingml/2006/main">
            <a:ext uri="{FF2B5EF4-FFF2-40B4-BE49-F238E27FC236}">
              <a16:creationId xmlns:a16="http://schemas.microsoft.com/office/drawing/2014/main" id="{3AA39B46-0EA4-4B3C-BDDC-E2DD88A3BC3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91786" y="3066979"/>
          <a:ext cx="8448492" cy="1685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E54AE620-391C-4DF5-9885-C69F189FC1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</cdr:x>
      <cdr:y>0.562</cdr:y>
    </cdr:from>
    <cdr:to>
      <cdr:x>0.9245</cdr:x>
      <cdr:y>0.562</cdr:y>
    </cdr:to>
    <cdr:sp macro="" textlink="">
      <cdr:nvSpPr>
        <cdr:cNvPr id="18433" name="Line 1">
          <a:extLst xmlns:a="http://schemas.openxmlformats.org/drawingml/2006/main">
            <a:ext uri="{FF2B5EF4-FFF2-40B4-BE49-F238E27FC236}">
              <a16:creationId xmlns:a16="http://schemas.microsoft.com/office/drawing/2014/main" id="{2CC430F5-94FB-4E86-9F9E-C4D2B28C960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00742" y="3281420"/>
          <a:ext cx="733334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workbookViewId="0" xr3:uid="{AEA406A1-0E4B-5B11-9CD5-51D6E497D94C}">
      <pane xSplit="1" ySplit="6" topLeftCell="B7" activePane="bottomRight" state="frozen"/>
      <selection pane="bottomRight" activeCell="A2" sqref="A2"/>
      <selection pane="bottomLeft" activeCell="A7" sqref="A7"/>
      <selection pane="topRight" activeCell="B1" sqref="B1"/>
    </sheetView>
  </sheetViews>
  <sheetFormatPr defaultRowHeight="12.75"/>
  <cols>
    <col min="1" max="1" width="15.7109375" customWidth="1"/>
    <col min="2" max="24" width="7.7109375" customWidth="1"/>
  </cols>
  <sheetData>
    <row r="1" spans="1:32">
      <c r="A1" s="17" t="s">
        <v>0</v>
      </c>
      <c r="B1" s="17"/>
      <c r="C1" s="17"/>
      <c r="D1" s="17"/>
      <c r="E1" s="17"/>
      <c r="F1" s="17"/>
      <c r="G1" s="17"/>
      <c r="K1" s="14"/>
      <c r="L1" s="14"/>
      <c r="M1" s="14"/>
      <c r="N1" s="14"/>
      <c r="O1" s="14"/>
      <c r="P1" s="14"/>
      <c r="Q1" s="14"/>
    </row>
    <row r="2" spans="1:32">
      <c r="A2" s="2"/>
      <c r="B2" s="17" t="s">
        <v>1</v>
      </c>
      <c r="C2" s="17"/>
      <c r="D2" s="17"/>
      <c r="E2" s="17"/>
      <c r="H2" s="18" t="s">
        <v>2</v>
      </c>
      <c r="I2" s="18"/>
      <c r="J2" s="18"/>
      <c r="K2" s="18"/>
      <c r="L2" s="18"/>
      <c r="M2" s="18"/>
      <c r="N2" s="18"/>
      <c r="O2" s="14"/>
      <c r="P2" s="14"/>
      <c r="Q2" s="14"/>
    </row>
    <row r="3" spans="1:32">
      <c r="A3" s="14" t="s">
        <v>3</v>
      </c>
      <c r="H3" s="19" t="s">
        <v>4</v>
      </c>
      <c r="I3" s="19"/>
      <c r="J3" s="19"/>
      <c r="K3" s="19"/>
      <c r="L3" s="19"/>
      <c r="M3" s="19"/>
      <c r="N3" s="19"/>
      <c r="O3" s="19"/>
      <c r="P3" s="19"/>
    </row>
    <row r="4" spans="1:32">
      <c r="A4" s="2"/>
      <c r="M4" s="14" t="s">
        <v>5</v>
      </c>
      <c r="N4" s="14" t="s">
        <v>6</v>
      </c>
      <c r="O4" s="14" t="s">
        <v>6</v>
      </c>
      <c r="P4" s="14" t="s">
        <v>7</v>
      </c>
      <c r="Q4" s="3" t="s">
        <v>6</v>
      </c>
      <c r="R4" s="14" t="s">
        <v>8</v>
      </c>
      <c r="S4" s="3" t="s">
        <v>6</v>
      </c>
      <c r="T4" s="3"/>
      <c r="U4" s="3"/>
      <c r="V4" s="3"/>
      <c r="W4" s="6" t="s">
        <v>9</v>
      </c>
      <c r="Y4" t="s">
        <v>10</v>
      </c>
      <c r="Z4" t="s">
        <v>11</v>
      </c>
      <c r="AA4" t="s">
        <v>12</v>
      </c>
      <c r="AB4" t="s">
        <v>13</v>
      </c>
      <c r="AF4" s="4" t="s">
        <v>14</v>
      </c>
    </row>
    <row r="5" spans="1:32" s="1" customFormat="1">
      <c r="A5" s="5" t="s">
        <v>15</v>
      </c>
      <c r="B5" s="14" t="s">
        <v>16</v>
      </c>
      <c r="C5" s="14" t="s">
        <v>17</v>
      </c>
      <c r="D5" s="14" t="s">
        <v>18</v>
      </c>
      <c r="E5" s="14" t="s">
        <v>19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24</v>
      </c>
      <c r="K5" s="14" t="s">
        <v>25</v>
      </c>
      <c r="L5" s="14" t="s">
        <v>26</v>
      </c>
      <c r="M5" s="14" t="s">
        <v>27</v>
      </c>
      <c r="N5" s="14" t="s">
        <v>28</v>
      </c>
      <c r="O5" s="6" t="s">
        <v>29</v>
      </c>
      <c r="P5" s="14" t="s">
        <v>30</v>
      </c>
      <c r="Q5" s="14" t="s">
        <v>30</v>
      </c>
      <c r="R5" s="14" t="s">
        <v>30</v>
      </c>
      <c r="S5" s="14" t="s">
        <v>30</v>
      </c>
      <c r="T5" s="14" t="s">
        <v>31</v>
      </c>
      <c r="U5" s="14" t="s">
        <v>32</v>
      </c>
      <c r="V5" s="14" t="s">
        <v>33</v>
      </c>
      <c r="W5" s="3" t="s">
        <v>34</v>
      </c>
      <c r="X5" s="14"/>
      <c r="Y5" s="14" t="s">
        <v>35</v>
      </c>
      <c r="Z5" s="14" t="s">
        <v>36</v>
      </c>
      <c r="AA5" s="14" t="s">
        <v>37</v>
      </c>
      <c r="AB5" s="14" t="s">
        <v>38</v>
      </c>
      <c r="AC5" s="14" t="s">
        <v>39</v>
      </c>
      <c r="AD5" s="14" t="s">
        <v>40</v>
      </c>
      <c r="AE5" s="14" t="s">
        <v>41</v>
      </c>
      <c r="AF5" s="14" t="s">
        <v>42</v>
      </c>
    </row>
    <row r="6" spans="1:32" s="1" customFormat="1">
      <c r="A6" s="5"/>
      <c r="B6" s="14" t="s">
        <v>43</v>
      </c>
      <c r="C6" s="14" t="s">
        <v>43</v>
      </c>
      <c r="D6" s="14" t="s">
        <v>43</v>
      </c>
      <c r="E6" s="14" t="s">
        <v>44</v>
      </c>
      <c r="F6" s="14" t="s">
        <v>45</v>
      </c>
      <c r="G6" s="14" t="s">
        <v>44</v>
      </c>
      <c r="H6" s="14" t="s">
        <v>45</v>
      </c>
      <c r="I6" s="14" t="s">
        <v>43</v>
      </c>
      <c r="J6" s="14"/>
      <c r="K6" s="14" t="s">
        <v>46</v>
      </c>
      <c r="L6" s="14"/>
      <c r="M6" s="14" t="s">
        <v>47</v>
      </c>
      <c r="N6" s="14" t="s">
        <v>48</v>
      </c>
      <c r="O6" s="14" t="s">
        <v>43</v>
      </c>
      <c r="P6" s="14" t="s">
        <v>48</v>
      </c>
      <c r="Q6" s="14" t="s">
        <v>49</v>
      </c>
      <c r="R6" s="14" t="s">
        <v>48</v>
      </c>
      <c r="S6" s="14" t="s">
        <v>50</v>
      </c>
      <c r="T6" s="14" t="s">
        <v>43</v>
      </c>
      <c r="U6" s="14" t="s">
        <v>43</v>
      </c>
      <c r="V6" s="14" t="s">
        <v>48</v>
      </c>
      <c r="W6" s="14" t="s">
        <v>51</v>
      </c>
      <c r="X6" s="14"/>
      <c r="Y6" s="14" t="s">
        <v>43</v>
      </c>
      <c r="Z6" s="14" t="s">
        <v>43</v>
      </c>
      <c r="AA6" s="14" t="s">
        <v>52</v>
      </c>
      <c r="AB6" s="14" t="s">
        <v>52</v>
      </c>
      <c r="AC6" s="14" t="s">
        <v>53</v>
      </c>
      <c r="AD6" s="14" t="s">
        <v>48</v>
      </c>
      <c r="AE6" s="14"/>
      <c r="AF6" s="14"/>
    </row>
    <row r="7" spans="1:32">
      <c r="A7" s="14" t="s">
        <v>54</v>
      </c>
      <c r="B7" s="14">
        <v>2003</v>
      </c>
      <c r="C7" s="15" t="s">
        <v>55</v>
      </c>
      <c r="G7" s="14" t="s">
        <v>56</v>
      </c>
      <c r="O7" s="14" t="s">
        <v>56</v>
      </c>
    </row>
    <row r="8" spans="1:32">
      <c r="A8" t="s">
        <v>57</v>
      </c>
      <c r="B8">
        <v>120</v>
      </c>
      <c r="C8">
        <v>120</v>
      </c>
      <c r="D8">
        <v>2.65</v>
      </c>
      <c r="E8">
        <v>340</v>
      </c>
      <c r="F8">
        <v>207</v>
      </c>
      <c r="G8">
        <v>16.100000000000001</v>
      </c>
      <c r="H8">
        <v>25.3</v>
      </c>
      <c r="I8">
        <v>360</v>
      </c>
      <c r="J8" s="9">
        <f>I8/B8</f>
        <v>3</v>
      </c>
      <c r="K8" s="8">
        <f>SQRT(P8/AD8)</f>
        <v>0.10142533305761024</v>
      </c>
      <c r="L8" s="9">
        <f>C8/D8</f>
        <v>45.283018867924532</v>
      </c>
      <c r="M8" s="11">
        <f>L8/(52*SQRT(235/E8))</f>
        <v>1.0474602618733957</v>
      </c>
      <c r="N8">
        <v>640</v>
      </c>
      <c r="O8" s="9">
        <v>1.1000000000000001</v>
      </c>
      <c r="P8" s="10">
        <f t="shared" ref="P8:P26" si="0">(E8*AB8+G8*AA8)/1000</f>
        <v>634.74244900000008</v>
      </c>
      <c r="Q8" s="11">
        <f>N8/P8</f>
        <v>1.0082829673803648</v>
      </c>
      <c r="R8" s="10">
        <f>AF8*P8</f>
        <v>634.74244900000008</v>
      </c>
      <c r="S8" s="11">
        <f>N8/R8</f>
        <v>1.0082829673803648</v>
      </c>
      <c r="T8">
        <v>0</v>
      </c>
      <c r="U8">
        <v>0</v>
      </c>
      <c r="V8">
        <v>0</v>
      </c>
      <c r="W8" s="11">
        <f>E8*AB8/(1000*P8)</f>
        <v>0.66630079753812077</v>
      </c>
      <c r="Y8">
        <f>B8-2*D8</f>
        <v>114.7</v>
      </c>
      <c r="Z8">
        <f>C8-2*D8</f>
        <v>114.7</v>
      </c>
      <c r="AA8">
        <f>Y8*Z8</f>
        <v>13156.09</v>
      </c>
      <c r="AB8">
        <f t="shared" ref="AB8:AB27" si="1">B8*C8-AA8</f>
        <v>1243.9099999999999</v>
      </c>
      <c r="AC8">
        <f t="shared" ref="AC8:AC27" si="2">((C8*B8^3-Z8*Y8^3)*F8+(Z8*Y8^3)*H8*0.6)/12</f>
        <v>810232975.15172136</v>
      </c>
      <c r="AD8">
        <f t="shared" ref="AD8:AD27" si="3">(PI()^2*AC8)/(I8*I8)</f>
        <v>61702.769579206433</v>
      </c>
      <c r="AE8">
        <f>0.5*(1+0.21*(K8-0.2)+K8*K8)</f>
        <v>0.49479320906397267</v>
      </c>
      <c r="AF8">
        <f>IF((1/(AE8+SQRT(AE8*AE8-K8*K8)))&gt;1,1,1/(AE8+SQRT(AE8*AE8-K8*K8)))</f>
        <v>1</v>
      </c>
    </row>
    <row r="9" spans="1:32">
      <c r="A9" t="s">
        <v>58</v>
      </c>
      <c r="B9">
        <v>120</v>
      </c>
      <c r="C9">
        <v>120</v>
      </c>
      <c r="D9">
        <v>2.65</v>
      </c>
      <c r="E9">
        <v>340</v>
      </c>
      <c r="F9">
        <v>207</v>
      </c>
      <c r="G9">
        <v>16.100000000000001</v>
      </c>
      <c r="H9">
        <v>25.3</v>
      </c>
      <c r="I9">
        <v>360</v>
      </c>
      <c r="J9" s="9">
        <f t="shared" ref="J9:J26" si="4">I9/B9</f>
        <v>3</v>
      </c>
      <c r="K9" s="8">
        <f t="shared" ref="K9:K26" si="5">SQRT(P9/AD9)</f>
        <v>0.10142533305761024</v>
      </c>
      <c r="L9" s="9">
        <f t="shared" ref="L9:L26" si="6">C9/D9</f>
        <v>45.283018867924532</v>
      </c>
      <c r="M9" s="11">
        <f t="shared" ref="M9:M26" si="7">L9/(52*SQRT(235/E9))</f>
        <v>1.0474602618733957</v>
      </c>
      <c r="N9">
        <v>664</v>
      </c>
      <c r="O9" s="9">
        <v>1.5</v>
      </c>
      <c r="P9" s="10">
        <f t="shared" si="0"/>
        <v>634.74244900000008</v>
      </c>
      <c r="Q9" s="11">
        <f t="shared" ref="Q9:Q26" si="8">N9/P9</f>
        <v>1.0460935786571286</v>
      </c>
      <c r="R9" s="10">
        <f t="shared" ref="R9:R26" si="9">AF9*P9</f>
        <v>634.74244900000008</v>
      </c>
      <c r="S9" s="11">
        <f t="shared" ref="S9:S26" si="10">N9/R9</f>
        <v>1.0460935786571286</v>
      </c>
      <c r="T9">
        <v>0</v>
      </c>
      <c r="U9">
        <v>0</v>
      </c>
      <c r="V9">
        <v>211</v>
      </c>
      <c r="W9" s="11">
        <f t="shared" ref="W9:W26" si="11">E9*AB9/(1000*P9)</f>
        <v>0.66630079753812077</v>
      </c>
      <c r="Y9">
        <f t="shared" ref="Y9:Y27" si="12">B9-2*D9</f>
        <v>114.7</v>
      </c>
      <c r="Z9">
        <f t="shared" ref="Z9:Z27" si="13">C9-2*D9</f>
        <v>114.7</v>
      </c>
      <c r="AA9">
        <f t="shared" ref="AA9:AA27" si="14">Y9*Z9</f>
        <v>13156.09</v>
      </c>
      <c r="AB9">
        <f t="shared" si="1"/>
        <v>1243.9099999999999</v>
      </c>
      <c r="AC9">
        <f t="shared" si="2"/>
        <v>810232975.15172136</v>
      </c>
      <c r="AD9">
        <f t="shared" si="3"/>
        <v>61702.769579206433</v>
      </c>
      <c r="AE9">
        <f t="shared" ref="AE9:AE27" si="15">0.5*(1+0.21*(K9-0.2)+K9*K9)</f>
        <v>0.49479320906397267</v>
      </c>
      <c r="AF9">
        <f t="shared" ref="AF9:AF27" si="16">IF((1/(AE9+SQRT(AE9*AE9-K9*K9)))&gt;1,1,1/(AE9+SQRT(AE9*AE9-K9*K9)))</f>
        <v>1</v>
      </c>
    </row>
    <row r="10" spans="1:32">
      <c r="A10" t="s">
        <v>59</v>
      </c>
      <c r="B10">
        <v>120</v>
      </c>
      <c r="C10">
        <v>120</v>
      </c>
      <c r="D10">
        <v>2.65</v>
      </c>
      <c r="E10">
        <v>340</v>
      </c>
      <c r="F10">
        <v>207</v>
      </c>
      <c r="G10">
        <v>16.100000000000001</v>
      </c>
      <c r="H10">
        <v>25.3</v>
      </c>
      <c r="I10">
        <v>360</v>
      </c>
      <c r="J10" s="9">
        <f t="shared" si="4"/>
        <v>3</v>
      </c>
      <c r="K10" s="8">
        <f t="shared" si="5"/>
        <v>0.10142533305761024</v>
      </c>
      <c r="L10" s="9">
        <f t="shared" si="6"/>
        <v>45.283018867924532</v>
      </c>
      <c r="M10" s="11">
        <f t="shared" si="7"/>
        <v>1.0474602618733957</v>
      </c>
      <c r="N10">
        <v>533</v>
      </c>
      <c r="O10" s="9">
        <v>1.5</v>
      </c>
      <c r="P10" s="10">
        <f t="shared" si="0"/>
        <v>634.74244900000008</v>
      </c>
      <c r="Q10" s="11">
        <f t="shared" si="8"/>
        <v>0.83971065877146012</v>
      </c>
      <c r="R10" s="10">
        <f t="shared" si="9"/>
        <v>634.74244900000008</v>
      </c>
      <c r="S10" s="11">
        <f t="shared" si="10"/>
        <v>0.83971065877146012</v>
      </c>
      <c r="T10">
        <v>14</v>
      </c>
      <c r="U10">
        <v>14</v>
      </c>
      <c r="V10">
        <v>0</v>
      </c>
      <c r="W10" s="11">
        <f t="shared" si="11"/>
        <v>0.66630079753812077</v>
      </c>
      <c r="Y10">
        <f t="shared" si="12"/>
        <v>114.7</v>
      </c>
      <c r="Z10">
        <f t="shared" si="13"/>
        <v>114.7</v>
      </c>
      <c r="AA10">
        <f t="shared" si="14"/>
        <v>13156.09</v>
      </c>
      <c r="AB10">
        <f t="shared" si="1"/>
        <v>1243.9099999999999</v>
      </c>
      <c r="AC10">
        <f t="shared" si="2"/>
        <v>810232975.15172136</v>
      </c>
      <c r="AD10">
        <f t="shared" si="3"/>
        <v>61702.769579206433</v>
      </c>
      <c r="AE10">
        <f t="shared" si="15"/>
        <v>0.49479320906397267</v>
      </c>
      <c r="AF10">
        <f t="shared" si="16"/>
        <v>1</v>
      </c>
    </row>
    <row r="11" spans="1:32">
      <c r="A11" t="s">
        <v>60</v>
      </c>
      <c r="B11">
        <v>120</v>
      </c>
      <c r="C11">
        <v>120</v>
      </c>
      <c r="D11">
        <v>2.65</v>
      </c>
      <c r="E11">
        <v>340</v>
      </c>
      <c r="F11">
        <v>207</v>
      </c>
      <c r="G11">
        <v>16.100000000000001</v>
      </c>
      <c r="H11">
        <v>25.3</v>
      </c>
      <c r="I11">
        <v>360</v>
      </c>
      <c r="J11" s="9">
        <f t="shared" si="4"/>
        <v>3</v>
      </c>
      <c r="K11" s="8">
        <f t="shared" si="5"/>
        <v>0.10142533305761024</v>
      </c>
      <c r="L11" s="9">
        <f t="shared" si="6"/>
        <v>45.283018867924532</v>
      </c>
      <c r="M11" s="11">
        <f t="shared" si="7"/>
        <v>1.0474602618733957</v>
      </c>
      <c r="N11">
        <v>538</v>
      </c>
      <c r="O11" s="9">
        <v>1.1000000000000001</v>
      </c>
      <c r="P11" s="10">
        <f t="shared" si="0"/>
        <v>634.74244900000008</v>
      </c>
      <c r="Q11" s="11">
        <f t="shared" si="8"/>
        <v>0.84758786945411924</v>
      </c>
      <c r="R11" s="10">
        <f t="shared" si="9"/>
        <v>634.74244900000008</v>
      </c>
      <c r="S11" s="11">
        <f t="shared" si="10"/>
        <v>0.84758786945411924</v>
      </c>
      <c r="T11">
        <v>14</v>
      </c>
      <c r="U11">
        <v>14</v>
      </c>
      <c r="V11">
        <v>211</v>
      </c>
      <c r="W11" s="11">
        <f t="shared" si="11"/>
        <v>0.66630079753812077</v>
      </c>
      <c r="Y11">
        <f t="shared" si="12"/>
        <v>114.7</v>
      </c>
      <c r="Z11">
        <f t="shared" si="13"/>
        <v>114.7</v>
      </c>
      <c r="AA11">
        <f t="shared" si="14"/>
        <v>13156.09</v>
      </c>
      <c r="AB11">
        <f t="shared" si="1"/>
        <v>1243.9099999999999</v>
      </c>
      <c r="AC11">
        <f t="shared" si="2"/>
        <v>810232975.15172136</v>
      </c>
      <c r="AD11">
        <f t="shared" si="3"/>
        <v>61702.769579206433</v>
      </c>
      <c r="AE11">
        <f t="shared" si="15"/>
        <v>0.49479320906397267</v>
      </c>
      <c r="AF11">
        <f t="shared" si="16"/>
        <v>1</v>
      </c>
    </row>
    <row r="12" spans="1:32">
      <c r="A12" t="s">
        <v>61</v>
      </c>
      <c r="B12">
        <v>120</v>
      </c>
      <c r="C12">
        <v>120</v>
      </c>
      <c r="D12">
        <v>2.65</v>
      </c>
      <c r="E12">
        <v>340</v>
      </c>
      <c r="F12">
        <v>207</v>
      </c>
      <c r="G12">
        <v>28.8</v>
      </c>
      <c r="H12">
        <v>27.1</v>
      </c>
      <c r="I12">
        <v>360</v>
      </c>
      <c r="J12" s="9">
        <f t="shared" si="4"/>
        <v>3</v>
      </c>
      <c r="K12" s="8">
        <f t="shared" si="5"/>
        <v>0.11291514312974918</v>
      </c>
      <c r="L12" s="9">
        <f t="shared" si="6"/>
        <v>45.283018867924532</v>
      </c>
      <c r="M12" s="11">
        <f t="shared" si="7"/>
        <v>1.0474602618733957</v>
      </c>
      <c r="N12">
        <v>816</v>
      </c>
      <c r="O12" s="9">
        <v>1</v>
      </c>
      <c r="P12" s="10">
        <f t="shared" si="0"/>
        <v>801.82479199999989</v>
      </c>
      <c r="Q12" s="11">
        <f t="shared" si="8"/>
        <v>1.0176786850960828</v>
      </c>
      <c r="R12" s="10">
        <f t="shared" si="9"/>
        <v>801.82479199999989</v>
      </c>
      <c r="S12" s="11">
        <f t="shared" si="10"/>
        <v>1.0176786850960828</v>
      </c>
      <c r="T12">
        <v>0</v>
      </c>
      <c r="U12">
        <v>0</v>
      </c>
      <c r="V12">
        <v>0</v>
      </c>
      <c r="W12" s="11">
        <f t="shared" si="11"/>
        <v>0.5274586221574451</v>
      </c>
      <c r="Y12">
        <f t="shared" si="12"/>
        <v>114.7</v>
      </c>
      <c r="Z12">
        <f t="shared" si="13"/>
        <v>114.7</v>
      </c>
      <c r="AA12">
        <f t="shared" si="14"/>
        <v>13156.09</v>
      </c>
      <c r="AB12">
        <f t="shared" si="1"/>
        <v>1243.9099999999999</v>
      </c>
      <c r="AC12">
        <f t="shared" si="2"/>
        <v>825810418.51965034</v>
      </c>
      <c r="AD12">
        <f t="shared" si="3"/>
        <v>62889.059730609457</v>
      </c>
      <c r="AE12">
        <f t="shared" si="15"/>
        <v>0.49723100480262955</v>
      </c>
      <c r="AF12">
        <f t="shared" si="16"/>
        <v>1</v>
      </c>
    </row>
    <row r="13" spans="1:32">
      <c r="A13" t="s">
        <v>62</v>
      </c>
      <c r="B13">
        <v>120</v>
      </c>
      <c r="C13">
        <v>120</v>
      </c>
      <c r="D13">
        <v>2.65</v>
      </c>
      <c r="E13">
        <v>340</v>
      </c>
      <c r="F13">
        <v>207</v>
      </c>
      <c r="G13">
        <v>28.8</v>
      </c>
      <c r="H13">
        <v>27.1</v>
      </c>
      <c r="I13">
        <v>360</v>
      </c>
      <c r="J13" s="9">
        <f t="shared" si="4"/>
        <v>3</v>
      </c>
      <c r="K13" s="8">
        <f t="shared" si="5"/>
        <v>0.11291514312974918</v>
      </c>
      <c r="L13" s="9">
        <f t="shared" si="6"/>
        <v>45.283018867924532</v>
      </c>
      <c r="M13" s="11">
        <f t="shared" si="7"/>
        <v>1.0474602618733957</v>
      </c>
      <c r="N13">
        <v>812</v>
      </c>
      <c r="O13" s="9">
        <v>1.5</v>
      </c>
      <c r="P13" s="10">
        <f t="shared" si="0"/>
        <v>801.82479199999989</v>
      </c>
      <c r="Q13" s="11">
        <f t="shared" si="8"/>
        <v>1.0126900640907099</v>
      </c>
      <c r="R13" s="10">
        <f t="shared" si="9"/>
        <v>801.82479199999989</v>
      </c>
      <c r="S13" s="11">
        <f t="shared" si="10"/>
        <v>1.0126900640907099</v>
      </c>
      <c r="T13">
        <v>0</v>
      </c>
      <c r="U13">
        <v>0</v>
      </c>
      <c r="V13">
        <v>211</v>
      </c>
      <c r="W13" s="11">
        <f t="shared" si="11"/>
        <v>0.5274586221574451</v>
      </c>
      <c r="Y13">
        <f t="shared" si="12"/>
        <v>114.7</v>
      </c>
      <c r="Z13">
        <f t="shared" si="13"/>
        <v>114.7</v>
      </c>
      <c r="AA13">
        <f t="shared" si="14"/>
        <v>13156.09</v>
      </c>
      <c r="AB13">
        <f t="shared" si="1"/>
        <v>1243.9099999999999</v>
      </c>
      <c r="AC13">
        <f t="shared" si="2"/>
        <v>825810418.51965034</v>
      </c>
      <c r="AD13">
        <f t="shared" si="3"/>
        <v>62889.059730609457</v>
      </c>
      <c r="AE13">
        <f t="shared" si="15"/>
        <v>0.49723100480262955</v>
      </c>
      <c r="AF13">
        <f t="shared" si="16"/>
        <v>1</v>
      </c>
    </row>
    <row r="14" spans="1:32">
      <c r="A14" t="s">
        <v>63</v>
      </c>
      <c r="B14">
        <v>120</v>
      </c>
      <c r="C14">
        <v>120</v>
      </c>
      <c r="D14">
        <v>2.65</v>
      </c>
      <c r="E14">
        <v>340</v>
      </c>
      <c r="F14">
        <v>207</v>
      </c>
      <c r="G14">
        <v>28.8</v>
      </c>
      <c r="H14">
        <v>27.1</v>
      </c>
      <c r="I14">
        <v>360</v>
      </c>
      <c r="J14" s="9">
        <f t="shared" si="4"/>
        <v>3</v>
      </c>
      <c r="K14" s="8">
        <f t="shared" si="5"/>
        <v>0.11291514312974918</v>
      </c>
      <c r="L14" s="9">
        <f t="shared" si="6"/>
        <v>45.283018867924532</v>
      </c>
      <c r="M14" s="11">
        <f t="shared" si="7"/>
        <v>1.0474602618733957</v>
      </c>
      <c r="N14">
        <v>600</v>
      </c>
      <c r="O14" s="9">
        <v>1.4</v>
      </c>
      <c r="P14" s="10">
        <f t="shared" si="0"/>
        <v>801.82479199999989</v>
      </c>
      <c r="Q14" s="11">
        <f t="shared" si="8"/>
        <v>0.74829315080594327</v>
      </c>
      <c r="R14" s="10">
        <f t="shared" si="9"/>
        <v>801.82479199999989</v>
      </c>
      <c r="S14" s="11">
        <f t="shared" si="10"/>
        <v>0.74829315080594327</v>
      </c>
      <c r="T14">
        <v>14</v>
      </c>
      <c r="U14">
        <v>14</v>
      </c>
      <c r="V14">
        <v>0</v>
      </c>
      <c r="W14" s="11">
        <f t="shared" si="11"/>
        <v>0.5274586221574451</v>
      </c>
      <c r="Y14">
        <f t="shared" si="12"/>
        <v>114.7</v>
      </c>
      <c r="Z14">
        <f t="shared" si="13"/>
        <v>114.7</v>
      </c>
      <c r="AA14">
        <f t="shared" si="14"/>
        <v>13156.09</v>
      </c>
      <c r="AB14">
        <f t="shared" si="1"/>
        <v>1243.9099999999999</v>
      </c>
      <c r="AC14">
        <f t="shared" si="2"/>
        <v>825810418.51965034</v>
      </c>
      <c r="AD14">
        <f t="shared" si="3"/>
        <v>62889.059730609457</v>
      </c>
      <c r="AE14">
        <f t="shared" si="15"/>
        <v>0.49723100480262955</v>
      </c>
      <c r="AF14">
        <f t="shared" si="16"/>
        <v>1</v>
      </c>
    </row>
    <row r="15" spans="1:32">
      <c r="A15" t="s">
        <v>64</v>
      </c>
      <c r="B15">
        <v>120</v>
      </c>
      <c r="C15">
        <v>120</v>
      </c>
      <c r="D15">
        <v>2.65</v>
      </c>
      <c r="E15">
        <v>340</v>
      </c>
      <c r="F15">
        <v>207</v>
      </c>
      <c r="G15">
        <v>28.8</v>
      </c>
      <c r="H15">
        <v>27.1</v>
      </c>
      <c r="I15">
        <v>360</v>
      </c>
      <c r="J15" s="9">
        <f t="shared" si="4"/>
        <v>3</v>
      </c>
      <c r="K15" s="8">
        <f t="shared" si="5"/>
        <v>0.11291514312974918</v>
      </c>
      <c r="L15" s="9">
        <f t="shared" si="6"/>
        <v>45.283018867924532</v>
      </c>
      <c r="M15" s="11">
        <f t="shared" si="7"/>
        <v>1.0474602618733957</v>
      </c>
      <c r="N15">
        <v>622</v>
      </c>
      <c r="O15" s="9">
        <v>1.5</v>
      </c>
      <c r="P15" s="10">
        <f t="shared" si="0"/>
        <v>801.82479199999989</v>
      </c>
      <c r="Q15" s="11">
        <f t="shared" si="8"/>
        <v>0.77573056633549453</v>
      </c>
      <c r="R15" s="10">
        <f t="shared" si="9"/>
        <v>801.82479199999989</v>
      </c>
      <c r="S15" s="11">
        <f t="shared" si="10"/>
        <v>0.77573056633549453</v>
      </c>
      <c r="T15">
        <v>14</v>
      </c>
      <c r="U15">
        <v>14</v>
      </c>
      <c r="V15">
        <v>211</v>
      </c>
      <c r="W15" s="11">
        <f t="shared" si="11"/>
        <v>0.5274586221574451</v>
      </c>
      <c r="Y15">
        <f t="shared" si="12"/>
        <v>114.7</v>
      </c>
      <c r="Z15">
        <f t="shared" si="13"/>
        <v>114.7</v>
      </c>
      <c r="AA15">
        <f t="shared" si="14"/>
        <v>13156.09</v>
      </c>
      <c r="AB15">
        <f t="shared" si="1"/>
        <v>1243.9099999999999</v>
      </c>
      <c r="AC15">
        <f t="shared" si="2"/>
        <v>825810418.51965034</v>
      </c>
      <c r="AD15">
        <f t="shared" si="3"/>
        <v>62889.059730609457</v>
      </c>
      <c r="AE15">
        <f t="shared" si="15"/>
        <v>0.49723100480262955</v>
      </c>
      <c r="AF15">
        <f t="shared" si="16"/>
        <v>1</v>
      </c>
    </row>
    <row r="16" spans="1:32">
      <c r="A16" t="s">
        <v>65</v>
      </c>
      <c r="B16">
        <v>120</v>
      </c>
      <c r="C16">
        <v>120</v>
      </c>
      <c r="D16">
        <v>2.65</v>
      </c>
      <c r="E16">
        <v>340</v>
      </c>
      <c r="F16">
        <v>207</v>
      </c>
      <c r="G16">
        <v>28.8</v>
      </c>
      <c r="H16">
        <v>27.1</v>
      </c>
      <c r="I16">
        <v>360</v>
      </c>
      <c r="J16" s="9">
        <f t="shared" si="4"/>
        <v>3</v>
      </c>
      <c r="K16" s="8">
        <f t="shared" si="5"/>
        <v>0.11291514312974918</v>
      </c>
      <c r="L16" s="9">
        <f t="shared" si="6"/>
        <v>45.283018867924532</v>
      </c>
      <c r="M16" s="11">
        <f t="shared" si="7"/>
        <v>1.0474602618733957</v>
      </c>
      <c r="N16">
        <v>650</v>
      </c>
      <c r="O16" s="9">
        <v>1.4</v>
      </c>
      <c r="P16" s="10">
        <f t="shared" si="0"/>
        <v>801.82479199999989</v>
      </c>
      <c r="Q16" s="11">
        <f t="shared" si="8"/>
        <v>0.81065091337310524</v>
      </c>
      <c r="R16" s="10">
        <f t="shared" si="9"/>
        <v>801.82479199999989</v>
      </c>
      <c r="S16" s="11">
        <f t="shared" si="10"/>
        <v>0.81065091337310524</v>
      </c>
      <c r="T16">
        <v>14</v>
      </c>
      <c r="U16">
        <v>14</v>
      </c>
      <c r="V16">
        <v>127</v>
      </c>
      <c r="W16" s="11">
        <f t="shared" si="11"/>
        <v>0.5274586221574451</v>
      </c>
      <c r="Y16">
        <f t="shared" si="12"/>
        <v>114.7</v>
      </c>
      <c r="Z16">
        <f t="shared" si="13"/>
        <v>114.7</v>
      </c>
      <c r="AA16">
        <f t="shared" si="14"/>
        <v>13156.09</v>
      </c>
      <c r="AB16">
        <f t="shared" si="1"/>
        <v>1243.9099999999999</v>
      </c>
      <c r="AC16">
        <f t="shared" si="2"/>
        <v>825810418.51965034</v>
      </c>
      <c r="AD16">
        <f t="shared" si="3"/>
        <v>62889.059730609457</v>
      </c>
      <c r="AE16">
        <f t="shared" si="15"/>
        <v>0.49723100480262955</v>
      </c>
      <c r="AF16">
        <f t="shared" si="16"/>
        <v>1</v>
      </c>
    </row>
    <row r="17" spans="1:32">
      <c r="A17" t="s">
        <v>66</v>
      </c>
      <c r="B17">
        <v>120</v>
      </c>
      <c r="C17">
        <v>120</v>
      </c>
      <c r="D17">
        <v>2.65</v>
      </c>
      <c r="E17">
        <v>340</v>
      </c>
      <c r="F17">
        <v>207</v>
      </c>
      <c r="G17">
        <v>28.8</v>
      </c>
      <c r="H17">
        <v>27.1</v>
      </c>
      <c r="I17">
        <v>360</v>
      </c>
      <c r="J17" s="9">
        <f t="shared" si="4"/>
        <v>3</v>
      </c>
      <c r="K17" s="8">
        <f t="shared" si="5"/>
        <v>0.11291514312974918</v>
      </c>
      <c r="L17" s="9">
        <f t="shared" si="6"/>
        <v>45.283018867924532</v>
      </c>
      <c r="M17" s="11">
        <f t="shared" si="7"/>
        <v>1.0474602618733957</v>
      </c>
      <c r="N17">
        <v>500</v>
      </c>
      <c r="O17" s="9">
        <v>1.6</v>
      </c>
      <c r="P17" s="10">
        <f t="shared" si="0"/>
        <v>801.82479199999989</v>
      </c>
      <c r="Q17" s="11">
        <f t="shared" si="8"/>
        <v>0.62357762567161934</v>
      </c>
      <c r="R17" s="10">
        <f t="shared" si="9"/>
        <v>801.82479199999989</v>
      </c>
      <c r="S17" s="11">
        <f t="shared" si="10"/>
        <v>0.62357762567161934</v>
      </c>
      <c r="T17">
        <v>31</v>
      </c>
      <c r="U17">
        <v>31</v>
      </c>
      <c r="V17">
        <v>198</v>
      </c>
      <c r="W17" s="11">
        <f t="shared" si="11"/>
        <v>0.5274586221574451</v>
      </c>
      <c r="Y17">
        <f t="shared" si="12"/>
        <v>114.7</v>
      </c>
      <c r="Z17">
        <f t="shared" si="13"/>
        <v>114.7</v>
      </c>
      <c r="AA17">
        <f t="shared" si="14"/>
        <v>13156.09</v>
      </c>
      <c r="AB17">
        <f t="shared" si="1"/>
        <v>1243.9099999999999</v>
      </c>
      <c r="AC17">
        <f t="shared" si="2"/>
        <v>825810418.51965034</v>
      </c>
      <c r="AD17">
        <f t="shared" si="3"/>
        <v>62889.059730609457</v>
      </c>
      <c r="AE17">
        <f t="shared" si="15"/>
        <v>0.49723100480262955</v>
      </c>
      <c r="AF17">
        <f t="shared" si="16"/>
        <v>1</v>
      </c>
    </row>
    <row r="18" spans="1:32">
      <c r="A18" t="s">
        <v>67</v>
      </c>
      <c r="B18">
        <v>120</v>
      </c>
      <c r="C18">
        <v>120</v>
      </c>
      <c r="D18">
        <v>2.65</v>
      </c>
      <c r="E18">
        <v>340</v>
      </c>
      <c r="F18">
        <v>207</v>
      </c>
      <c r="G18">
        <v>28.8</v>
      </c>
      <c r="H18">
        <v>27.1</v>
      </c>
      <c r="I18">
        <v>1400</v>
      </c>
      <c r="J18" s="9">
        <f t="shared" si="4"/>
        <v>11.666666666666666</v>
      </c>
      <c r="K18" s="8">
        <f t="shared" si="5"/>
        <v>0.43911444550458018</v>
      </c>
      <c r="L18" s="9">
        <f t="shared" si="6"/>
        <v>45.283018867924532</v>
      </c>
      <c r="M18" s="11">
        <f t="shared" si="7"/>
        <v>1.0474602618733957</v>
      </c>
      <c r="N18">
        <v>769</v>
      </c>
      <c r="O18" s="9">
        <v>4</v>
      </c>
      <c r="P18" s="10">
        <f t="shared" si="0"/>
        <v>801.82479199999989</v>
      </c>
      <c r="Q18" s="11">
        <f t="shared" si="8"/>
        <v>0.95906238828295065</v>
      </c>
      <c r="R18" s="10">
        <f t="shared" si="9"/>
        <v>755.46787149476847</v>
      </c>
      <c r="S18" s="11">
        <f t="shared" si="10"/>
        <v>1.017912248840519</v>
      </c>
      <c r="T18">
        <v>0</v>
      </c>
      <c r="U18">
        <v>0</v>
      </c>
      <c r="V18">
        <v>0</v>
      </c>
      <c r="W18" s="11">
        <f t="shared" si="11"/>
        <v>0.5274586221574451</v>
      </c>
      <c r="Y18">
        <f t="shared" si="12"/>
        <v>114.7</v>
      </c>
      <c r="Z18">
        <f t="shared" si="13"/>
        <v>114.7</v>
      </c>
      <c r="AA18">
        <f t="shared" si="14"/>
        <v>13156.09</v>
      </c>
      <c r="AB18">
        <f t="shared" si="1"/>
        <v>1243.9099999999999</v>
      </c>
      <c r="AC18">
        <f t="shared" si="2"/>
        <v>825810418.51965034</v>
      </c>
      <c r="AD18">
        <f t="shared" si="3"/>
        <v>4158.3786434117274</v>
      </c>
      <c r="AE18">
        <f t="shared" si="15"/>
        <v>0.62151776490337829</v>
      </c>
      <c r="AF18">
        <f t="shared" si="16"/>
        <v>0.94218572315579963</v>
      </c>
    </row>
    <row r="19" spans="1:32">
      <c r="A19" t="s">
        <v>68</v>
      </c>
      <c r="B19">
        <v>120</v>
      </c>
      <c r="C19">
        <v>120</v>
      </c>
      <c r="D19">
        <v>2.65</v>
      </c>
      <c r="E19">
        <v>340</v>
      </c>
      <c r="F19">
        <v>207</v>
      </c>
      <c r="G19">
        <v>28.8</v>
      </c>
      <c r="H19">
        <v>27.1</v>
      </c>
      <c r="I19">
        <v>1400</v>
      </c>
      <c r="J19" s="9">
        <f t="shared" si="4"/>
        <v>11.666666666666666</v>
      </c>
      <c r="K19" s="8">
        <f t="shared" si="5"/>
        <v>0.43911444550458018</v>
      </c>
      <c r="L19" s="9">
        <f t="shared" si="6"/>
        <v>45.283018867924532</v>
      </c>
      <c r="M19" s="11">
        <f t="shared" si="7"/>
        <v>1.0474602618733957</v>
      </c>
      <c r="N19">
        <v>730</v>
      </c>
      <c r="O19" s="9">
        <v>4.8</v>
      </c>
      <c r="P19" s="10">
        <f t="shared" si="0"/>
        <v>801.82479199999989</v>
      </c>
      <c r="Q19" s="11">
        <f t="shared" si="8"/>
        <v>0.91042333348056426</v>
      </c>
      <c r="R19" s="10">
        <f t="shared" si="9"/>
        <v>755.46787149476847</v>
      </c>
      <c r="S19" s="11">
        <f t="shared" si="10"/>
        <v>0.96628861073287242</v>
      </c>
      <c r="T19">
        <v>0</v>
      </c>
      <c r="U19">
        <v>0</v>
      </c>
      <c r="V19">
        <v>194</v>
      </c>
      <c r="W19" s="11">
        <f t="shared" si="11"/>
        <v>0.5274586221574451</v>
      </c>
      <c r="Y19">
        <f t="shared" si="12"/>
        <v>114.7</v>
      </c>
      <c r="Z19">
        <f t="shared" si="13"/>
        <v>114.7</v>
      </c>
      <c r="AA19">
        <f t="shared" si="14"/>
        <v>13156.09</v>
      </c>
      <c r="AB19">
        <f t="shared" si="1"/>
        <v>1243.9099999999999</v>
      </c>
      <c r="AC19">
        <f t="shared" si="2"/>
        <v>825810418.51965034</v>
      </c>
      <c r="AD19">
        <f t="shared" si="3"/>
        <v>4158.3786434117274</v>
      </c>
      <c r="AE19">
        <f t="shared" si="15"/>
        <v>0.62151776490337829</v>
      </c>
      <c r="AF19">
        <f t="shared" si="16"/>
        <v>0.94218572315579963</v>
      </c>
    </row>
    <row r="20" spans="1:32">
      <c r="A20" t="s">
        <v>69</v>
      </c>
      <c r="B20">
        <v>120</v>
      </c>
      <c r="C20">
        <v>120</v>
      </c>
      <c r="D20">
        <v>2.65</v>
      </c>
      <c r="E20">
        <v>340</v>
      </c>
      <c r="F20">
        <v>207</v>
      </c>
      <c r="G20">
        <v>28.8</v>
      </c>
      <c r="H20">
        <v>27.1</v>
      </c>
      <c r="I20">
        <v>1400</v>
      </c>
      <c r="J20" s="9">
        <f t="shared" si="4"/>
        <v>11.666666666666666</v>
      </c>
      <c r="K20" s="8">
        <f t="shared" si="5"/>
        <v>0.43911444550458018</v>
      </c>
      <c r="L20" s="9">
        <f t="shared" si="6"/>
        <v>45.283018867924532</v>
      </c>
      <c r="M20" s="11">
        <f t="shared" si="7"/>
        <v>1.0474602618733957</v>
      </c>
      <c r="N20">
        <v>590</v>
      </c>
      <c r="O20" s="9">
        <v>8.9</v>
      </c>
      <c r="P20" s="10">
        <f t="shared" si="0"/>
        <v>801.82479199999989</v>
      </c>
      <c r="Q20" s="11">
        <f t="shared" si="8"/>
        <v>0.73582159829251081</v>
      </c>
      <c r="R20" s="10">
        <f t="shared" si="9"/>
        <v>755.46787149476847</v>
      </c>
      <c r="S20" s="11">
        <f t="shared" si="10"/>
        <v>0.78097298675670512</v>
      </c>
      <c r="T20">
        <v>14</v>
      </c>
      <c r="U20">
        <v>14</v>
      </c>
      <c r="V20">
        <v>0</v>
      </c>
      <c r="W20" s="11">
        <f t="shared" si="11"/>
        <v>0.5274586221574451</v>
      </c>
      <c r="Y20">
        <f t="shared" si="12"/>
        <v>114.7</v>
      </c>
      <c r="Z20">
        <f t="shared" si="13"/>
        <v>114.7</v>
      </c>
      <c r="AA20">
        <f t="shared" si="14"/>
        <v>13156.09</v>
      </c>
      <c r="AB20">
        <f t="shared" si="1"/>
        <v>1243.9099999999999</v>
      </c>
      <c r="AC20">
        <f t="shared" si="2"/>
        <v>825810418.51965034</v>
      </c>
      <c r="AD20">
        <f t="shared" si="3"/>
        <v>4158.3786434117274</v>
      </c>
      <c r="AE20">
        <f t="shared" si="15"/>
        <v>0.62151776490337829</v>
      </c>
      <c r="AF20">
        <f t="shared" si="16"/>
        <v>0.94218572315579963</v>
      </c>
    </row>
    <row r="21" spans="1:32">
      <c r="A21" t="s">
        <v>70</v>
      </c>
      <c r="B21">
        <v>120</v>
      </c>
      <c r="C21">
        <v>120</v>
      </c>
      <c r="D21">
        <v>2.65</v>
      </c>
      <c r="E21">
        <v>340</v>
      </c>
      <c r="F21">
        <v>207</v>
      </c>
      <c r="G21">
        <v>28.8</v>
      </c>
      <c r="H21">
        <v>27.1</v>
      </c>
      <c r="I21">
        <v>1400</v>
      </c>
      <c r="J21" s="9">
        <f t="shared" si="4"/>
        <v>11.666666666666666</v>
      </c>
      <c r="K21" s="8">
        <f t="shared" si="5"/>
        <v>0.43911444550458018</v>
      </c>
      <c r="L21" s="9">
        <f t="shared" si="6"/>
        <v>45.283018867924532</v>
      </c>
      <c r="M21" s="11">
        <f t="shared" si="7"/>
        <v>1.0474602618733957</v>
      </c>
      <c r="N21">
        <v>560</v>
      </c>
      <c r="O21" s="9">
        <v>7.6</v>
      </c>
      <c r="P21" s="10">
        <f t="shared" si="0"/>
        <v>801.82479199999989</v>
      </c>
      <c r="Q21" s="11">
        <f t="shared" si="8"/>
        <v>0.69840694075221366</v>
      </c>
      <c r="R21" s="10">
        <f t="shared" si="9"/>
        <v>755.46787149476847</v>
      </c>
      <c r="S21" s="11">
        <f t="shared" si="10"/>
        <v>0.74126249590466919</v>
      </c>
      <c r="T21">
        <v>14</v>
      </c>
      <c r="U21">
        <v>14</v>
      </c>
      <c r="V21">
        <v>194</v>
      </c>
      <c r="W21" s="11">
        <f t="shared" si="11"/>
        <v>0.5274586221574451</v>
      </c>
      <c r="Y21">
        <f t="shared" si="12"/>
        <v>114.7</v>
      </c>
      <c r="Z21">
        <f t="shared" si="13"/>
        <v>114.7</v>
      </c>
      <c r="AA21">
        <f t="shared" si="14"/>
        <v>13156.09</v>
      </c>
      <c r="AB21">
        <f t="shared" si="1"/>
        <v>1243.9099999999999</v>
      </c>
      <c r="AC21">
        <f t="shared" si="2"/>
        <v>825810418.51965034</v>
      </c>
      <c r="AD21">
        <f t="shared" si="3"/>
        <v>4158.3786434117274</v>
      </c>
      <c r="AE21">
        <f t="shared" si="15"/>
        <v>0.62151776490337829</v>
      </c>
      <c r="AF21">
        <f t="shared" si="16"/>
        <v>0.94218572315579963</v>
      </c>
    </row>
    <row r="22" spans="1:32">
      <c r="A22" t="s">
        <v>71</v>
      </c>
      <c r="B22">
        <v>120</v>
      </c>
      <c r="C22">
        <v>120</v>
      </c>
      <c r="D22">
        <v>2.65</v>
      </c>
      <c r="E22">
        <v>340</v>
      </c>
      <c r="F22">
        <v>207</v>
      </c>
      <c r="G22">
        <v>28.8</v>
      </c>
      <c r="H22">
        <v>27.1</v>
      </c>
      <c r="I22">
        <v>1400</v>
      </c>
      <c r="J22" s="9">
        <f t="shared" si="4"/>
        <v>11.666666666666666</v>
      </c>
      <c r="K22" s="8">
        <f t="shared" si="5"/>
        <v>0.43911444550458018</v>
      </c>
      <c r="L22" s="9">
        <f t="shared" si="6"/>
        <v>45.283018867924532</v>
      </c>
      <c r="M22" s="11">
        <f t="shared" si="7"/>
        <v>1.0474602618733957</v>
      </c>
      <c r="N22">
        <v>552</v>
      </c>
      <c r="O22" s="9">
        <v>10.6</v>
      </c>
      <c r="P22" s="10">
        <f t="shared" si="0"/>
        <v>801.82479199999989</v>
      </c>
      <c r="Q22" s="11">
        <f t="shared" si="8"/>
        <v>0.68842969874146775</v>
      </c>
      <c r="R22" s="10">
        <f t="shared" si="9"/>
        <v>755.46787149476847</v>
      </c>
      <c r="S22" s="11">
        <f t="shared" si="10"/>
        <v>0.73067303167745967</v>
      </c>
      <c r="T22">
        <v>14</v>
      </c>
      <c r="U22">
        <v>14</v>
      </c>
      <c r="V22">
        <v>272</v>
      </c>
      <c r="W22" s="11">
        <f t="shared" si="11"/>
        <v>0.5274586221574451</v>
      </c>
      <c r="Y22">
        <f t="shared" si="12"/>
        <v>114.7</v>
      </c>
      <c r="Z22">
        <f t="shared" si="13"/>
        <v>114.7</v>
      </c>
      <c r="AA22">
        <f t="shared" si="14"/>
        <v>13156.09</v>
      </c>
      <c r="AB22">
        <f t="shared" si="1"/>
        <v>1243.9099999999999</v>
      </c>
      <c r="AC22">
        <f t="shared" si="2"/>
        <v>825810418.51965034</v>
      </c>
      <c r="AD22">
        <f t="shared" si="3"/>
        <v>4158.3786434117274</v>
      </c>
      <c r="AE22">
        <f t="shared" si="15"/>
        <v>0.62151776490337829</v>
      </c>
      <c r="AF22">
        <f t="shared" si="16"/>
        <v>0.94218572315579963</v>
      </c>
    </row>
    <row r="23" spans="1:32">
      <c r="A23" t="s">
        <v>72</v>
      </c>
      <c r="B23">
        <v>120</v>
      </c>
      <c r="C23">
        <v>120</v>
      </c>
      <c r="D23">
        <v>2.65</v>
      </c>
      <c r="E23">
        <v>340</v>
      </c>
      <c r="F23">
        <v>207</v>
      </c>
      <c r="G23">
        <v>28.8</v>
      </c>
      <c r="H23">
        <v>27.1</v>
      </c>
      <c r="I23">
        <v>1400</v>
      </c>
      <c r="J23" s="9">
        <f t="shared" si="4"/>
        <v>11.666666666666666</v>
      </c>
      <c r="K23" s="8">
        <f t="shared" si="5"/>
        <v>0.43911444550458018</v>
      </c>
      <c r="L23" s="9">
        <f t="shared" si="6"/>
        <v>45.283018867924532</v>
      </c>
      <c r="M23" s="11">
        <f t="shared" si="7"/>
        <v>1.0474602618733957</v>
      </c>
      <c r="N23">
        <v>452</v>
      </c>
      <c r="O23" s="9">
        <v>11.6</v>
      </c>
      <c r="P23" s="10">
        <f t="shared" si="0"/>
        <v>801.82479199999989</v>
      </c>
      <c r="Q23" s="11">
        <f t="shared" si="8"/>
        <v>0.56371417360714393</v>
      </c>
      <c r="R23" s="10">
        <f t="shared" si="9"/>
        <v>755.46787149476847</v>
      </c>
      <c r="S23" s="11">
        <f t="shared" si="10"/>
        <v>0.59830472883734021</v>
      </c>
      <c r="T23">
        <v>31</v>
      </c>
      <c r="U23">
        <v>31</v>
      </c>
      <c r="V23">
        <v>194</v>
      </c>
      <c r="W23" s="11">
        <f t="shared" si="11"/>
        <v>0.5274586221574451</v>
      </c>
      <c r="Y23">
        <f t="shared" si="12"/>
        <v>114.7</v>
      </c>
      <c r="Z23">
        <f t="shared" si="13"/>
        <v>114.7</v>
      </c>
      <c r="AA23">
        <f t="shared" si="14"/>
        <v>13156.09</v>
      </c>
      <c r="AB23">
        <f t="shared" si="1"/>
        <v>1243.9099999999999</v>
      </c>
      <c r="AC23">
        <f t="shared" si="2"/>
        <v>825810418.51965034</v>
      </c>
      <c r="AD23">
        <f t="shared" si="3"/>
        <v>4158.3786434117274</v>
      </c>
      <c r="AE23">
        <f t="shared" si="15"/>
        <v>0.62151776490337829</v>
      </c>
      <c r="AF23">
        <f t="shared" si="16"/>
        <v>0.94218572315579963</v>
      </c>
    </row>
    <row r="24" spans="1:32">
      <c r="A24" t="s">
        <v>73</v>
      </c>
      <c r="B24">
        <v>120</v>
      </c>
      <c r="C24">
        <v>120</v>
      </c>
      <c r="D24">
        <v>2.65</v>
      </c>
      <c r="E24">
        <v>340</v>
      </c>
      <c r="F24">
        <v>207</v>
      </c>
      <c r="G24">
        <v>24</v>
      </c>
      <c r="H24">
        <v>26.8</v>
      </c>
      <c r="I24">
        <v>1400</v>
      </c>
      <c r="J24" s="9">
        <f t="shared" si="4"/>
        <v>11.666666666666666</v>
      </c>
      <c r="K24" s="8">
        <f t="shared" si="5"/>
        <v>0.42213232257750205</v>
      </c>
      <c r="L24" s="9">
        <f t="shared" si="6"/>
        <v>45.283018867924532</v>
      </c>
      <c r="M24" s="11">
        <f t="shared" si="7"/>
        <v>1.0474602618733957</v>
      </c>
      <c r="N24">
        <v>412</v>
      </c>
      <c r="O24" s="9">
        <v>9.1</v>
      </c>
      <c r="P24" s="10">
        <f t="shared" si="0"/>
        <v>738.67556000000002</v>
      </c>
      <c r="Q24" s="11">
        <f t="shared" si="8"/>
        <v>0.55775501764265756</v>
      </c>
      <c r="R24" s="10">
        <f t="shared" si="9"/>
        <v>699.42646614490491</v>
      </c>
      <c r="S24" s="11">
        <f t="shared" si="10"/>
        <v>0.58905406063750976</v>
      </c>
      <c r="T24">
        <v>31</v>
      </c>
      <c r="U24">
        <v>31</v>
      </c>
      <c r="V24">
        <v>0</v>
      </c>
      <c r="W24" s="11">
        <f t="shared" si="11"/>
        <v>0.57255095863737515</v>
      </c>
      <c r="Y24">
        <f t="shared" si="12"/>
        <v>114.7</v>
      </c>
      <c r="Z24">
        <f t="shared" si="13"/>
        <v>114.7</v>
      </c>
      <c r="AA24">
        <f t="shared" si="14"/>
        <v>13156.09</v>
      </c>
      <c r="AB24">
        <f t="shared" si="1"/>
        <v>1243.9099999999999</v>
      </c>
      <c r="AC24">
        <f t="shared" si="2"/>
        <v>823214177.95832884</v>
      </c>
      <c r="AD24">
        <f t="shared" si="3"/>
        <v>4145.3052417432036</v>
      </c>
      <c r="AE24">
        <f t="shared" si="15"/>
        <v>0.6124217427529759</v>
      </c>
      <c r="AF24">
        <f t="shared" si="16"/>
        <v>0.94686558486503181</v>
      </c>
    </row>
    <row r="25" spans="1:32">
      <c r="A25" t="s">
        <v>74</v>
      </c>
      <c r="B25">
        <v>120</v>
      </c>
      <c r="C25">
        <v>120</v>
      </c>
      <c r="D25">
        <v>2.65</v>
      </c>
      <c r="E25">
        <v>340</v>
      </c>
      <c r="F25">
        <v>207</v>
      </c>
      <c r="G25">
        <v>24</v>
      </c>
      <c r="H25">
        <v>26.8</v>
      </c>
      <c r="I25">
        <v>1400</v>
      </c>
      <c r="J25" s="9">
        <f t="shared" si="4"/>
        <v>11.666666666666666</v>
      </c>
      <c r="K25" s="8">
        <f t="shared" si="5"/>
        <v>0.42213232257750205</v>
      </c>
      <c r="L25" s="9">
        <f t="shared" si="6"/>
        <v>45.283018867924532</v>
      </c>
      <c r="M25" s="11">
        <f t="shared" si="7"/>
        <v>1.0474602618733957</v>
      </c>
      <c r="N25">
        <v>397</v>
      </c>
      <c r="O25" s="9">
        <v>11</v>
      </c>
      <c r="P25" s="10">
        <f t="shared" si="0"/>
        <v>738.67556000000002</v>
      </c>
      <c r="Q25" s="11">
        <f t="shared" si="8"/>
        <v>0.53744840292265794</v>
      </c>
      <c r="R25" s="10">
        <f t="shared" si="9"/>
        <v>699.42646614490491</v>
      </c>
      <c r="S25" s="11">
        <f t="shared" si="10"/>
        <v>0.56760791765313445</v>
      </c>
      <c r="T25">
        <v>31</v>
      </c>
      <c r="U25">
        <v>31</v>
      </c>
      <c r="V25">
        <v>117</v>
      </c>
      <c r="W25" s="11">
        <f t="shared" si="11"/>
        <v>0.57255095863737515</v>
      </c>
      <c r="Y25">
        <f t="shared" si="12"/>
        <v>114.7</v>
      </c>
      <c r="Z25">
        <f t="shared" si="13"/>
        <v>114.7</v>
      </c>
      <c r="AA25">
        <f t="shared" si="14"/>
        <v>13156.09</v>
      </c>
      <c r="AB25">
        <f t="shared" si="1"/>
        <v>1243.9099999999999</v>
      </c>
      <c r="AC25">
        <f t="shared" si="2"/>
        <v>823214177.95832884</v>
      </c>
      <c r="AD25">
        <f t="shared" si="3"/>
        <v>4145.3052417432036</v>
      </c>
      <c r="AE25">
        <f t="shared" si="15"/>
        <v>0.6124217427529759</v>
      </c>
      <c r="AF25">
        <f t="shared" si="16"/>
        <v>0.94686558486503181</v>
      </c>
    </row>
    <row r="26" spans="1:32">
      <c r="A26" t="s">
        <v>75</v>
      </c>
      <c r="B26">
        <v>120</v>
      </c>
      <c r="C26">
        <v>120</v>
      </c>
      <c r="D26">
        <v>2.65</v>
      </c>
      <c r="E26">
        <v>340</v>
      </c>
      <c r="F26">
        <v>207</v>
      </c>
      <c r="G26">
        <v>24</v>
      </c>
      <c r="H26">
        <v>26.8</v>
      </c>
      <c r="I26">
        <v>1400</v>
      </c>
      <c r="J26" s="9">
        <f t="shared" si="4"/>
        <v>11.666666666666666</v>
      </c>
      <c r="K26" s="8">
        <f t="shared" si="5"/>
        <v>0.42213232257750205</v>
      </c>
      <c r="L26" s="9">
        <f t="shared" si="6"/>
        <v>45.283018867924532</v>
      </c>
      <c r="M26" s="11">
        <f t="shared" si="7"/>
        <v>1.0474602618733957</v>
      </c>
      <c r="N26">
        <v>390</v>
      </c>
      <c r="O26" s="9">
        <v>15.9</v>
      </c>
      <c r="P26" s="10">
        <f t="shared" si="0"/>
        <v>738.67556000000002</v>
      </c>
      <c r="Q26" s="11">
        <f t="shared" si="8"/>
        <v>0.52797198271999146</v>
      </c>
      <c r="R26" s="10">
        <f t="shared" si="9"/>
        <v>699.42646614490491</v>
      </c>
      <c r="S26" s="11">
        <f t="shared" si="10"/>
        <v>0.55759971759375926</v>
      </c>
      <c r="T26">
        <v>31</v>
      </c>
      <c r="U26">
        <v>31</v>
      </c>
      <c r="V26">
        <v>272</v>
      </c>
      <c r="W26" s="11">
        <f t="shared" si="11"/>
        <v>0.57255095863737515</v>
      </c>
      <c r="Y26">
        <f t="shared" si="12"/>
        <v>114.7</v>
      </c>
      <c r="Z26">
        <f t="shared" si="13"/>
        <v>114.7</v>
      </c>
      <c r="AA26">
        <f t="shared" si="14"/>
        <v>13156.09</v>
      </c>
      <c r="AB26">
        <f t="shared" si="1"/>
        <v>1243.9099999999999</v>
      </c>
      <c r="AC26">
        <f t="shared" si="2"/>
        <v>823214177.95832884</v>
      </c>
      <c r="AD26">
        <f t="shared" si="3"/>
        <v>4145.3052417432036</v>
      </c>
      <c r="AE26">
        <f t="shared" si="15"/>
        <v>0.6124217427529759</v>
      </c>
      <c r="AF26">
        <f t="shared" si="16"/>
        <v>0.94686558486503181</v>
      </c>
    </row>
    <row r="27" spans="1:32">
      <c r="Y27">
        <f t="shared" si="12"/>
        <v>0</v>
      </c>
      <c r="Z27">
        <f t="shared" si="13"/>
        <v>0</v>
      </c>
      <c r="AA27">
        <f t="shared" si="14"/>
        <v>0</v>
      </c>
      <c r="AB27">
        <f t="shared" si="1"/>
        <v>0</v>
      </c>
      <c r="AC27">
        <f t="shared" si="2"/>
        <v>0</v>
      </c>
      <c r="AD27" t="e">
        <f t="shared" si="3"/>
        <v>#DIV/0!</v>
      </c>
      <c r="AE27">
        <f t="shared" si="15"/>
        <v>0.47899999999999998</v>
      </c>
      <c r="AF27">
        <f t="shared" si="16"/>
        <v>1</v>
      </c>
    </row>
    <row r="28" spans="1:32">
      <c r="L28" t="s">
        <v>76</v>
      </c>
      <c r="M28">
        <f>COUNTIF(M8:M26,"&gt;1")</f>
        <v>19</v>
      </c>
      <c r="N28" s="11">
        <f t="array" aca="1" ref="N28" ca="1">AVERAGE(IF(M8:M26 &gt;1, Summary!T8:'Summary'!T26))</f>
        <v>1.03361660059891</v>
      </c>
      <c r="O28" s="15" t="s">
        <v>77</v>
      </c>
    </row>
  </sheetData>
  <mergeCells count="4">
    <mergeCell ref="A1:G1"/>
    <mergeCell ref="B2:E2"/>
    <mergeCell ref="H2:N2"/>
    <mergeCell ref="H3:P3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2"/>
  <sheetViews>
    <sheetView tabSelected="1" zoomScaleNormal="100" workbookViewId="0" xr3:uid="{958C4451-9541-5A59-BF78-D2F731DF1C81}">
      <pane xSplit="1" ySplit="6" topLeftCell="B7" activePane="bottomRight" state="frozen"/>
      <selection pane="bottomRight" activeCell="S30" sqref="S30:S32"/>
      <selection pane="bottomLeft" activeCell="A7" sqref="A7"/>
      <selection pane="topRight" activeCell="B1" sqref="B1"/>
    </sheetView>
  </sheetViews>
  <sheetFormatPr defaultRowHeight="12.75"/>
  <cols>
    <col min="1" max="1" width="14.7109375" customWidth="1"/>
    <col min="2" max="20" width="7.7109375" customWidth="1"/>
  </cols>
  <sheetData>
    <row r="1" spans="1:20" s="1" customFormat="1">
      <c r="A1" s="17" t="s">
        <v>78</v>
      </c>
      <c r="B1" s="17"/>
      <c r="C1" s="17"/>
      <c r="D1" s="17"/>
      <c r="E1" s="17"/>
      <c r="F1" s="14"/>
      <c r="G1" s="14"/>
      <c r="H1" s="14"/>
      <c r="I1" s="14"/>
      <c r="J1"/>
      <c r="K1"/>
      <c r="L1" s="14"/>
      <c r="M1" s="14"/>
      <c r="N1" s="14"/>
      <c r="O1" s="14"/>
      <c r="P1"/>
      <c r="Q1" s="14"/>
      <c r="R1" s="14"/>
      <c r="S1" s="14"/>
      <c r="T1" s="14"/>
    </row>
    <row r="2" spans="1:20" s="1" customFormat="1">
      <c r="A2" s="14"/>
      <c r="B2" s="14" t="s">
        <v>1</v>
      </c>
      <c r="C2" s="14"/>
      <c r="D2" s="14"/>
      <c r="E2" s="14"/>
      <c r="F2" s="14"/>
      <c r="G2" s="20" t="s">
        <v>79</v>
      </c>
      <c r="H2" s="20"/>
      <c r="I2" s="20"/>
      <c r="J2" s="20"/>
      <c r="K2" s="20"/>
      <c r="L2" s="20"/>
      <c r="M2" s="14"/>
      <c r="N2" s="14"/>
      <c r="O2" s="14"/>
      <c r="P2"/>
      <c r="Q2" s="14"/>
      <c r="R2" s="14"/>
      <c r="S2" s="14"/>
      <c r="T2" s="14"/>
    </row>
    <row r="3" spans="1:20" s="1" customFormat="1">
      <c r="A3" s="14" t="s">
        <v>80</v>
      </c>
      <c r="B3" s="14"/>
      <c r="C3" s="14"/>
      <c r="D3" s="14"/>
      <c r="E3" s="14"/>
      <c r="F3" s="14"/>
      <c r="G3" s="14"/>
      <c r="H3" s="14"/>
      <c r="I3" s="14"/>
      <c r="J3"/>
      <c r="K3"/>
      <c r="L3" s="14"/>
      <c r="M3" s="14"/>
      <c r="N3" s="14"/>
      <c r="O3" s="14"/>
      <c r="P3"/>
      <c r="Q3" s="14"/>
      <c r="R3" s="14"/>
      <c r="S3" s="14"/>
      <c r="T3" s="14"/>
    </row>
    <row r="4" spans="1:20" s="1" customFormat="1">
      <c r="A4" s="14"/>
      <c r="B4" s="14"/>
      <c r="C4" s="14"/>
      <c r="D4" s="14"/>
      <c r="E4" s="14"/>
      <c r="F4" s="14"/>
      <c r="G4" s="14"/>
      <c r="H4" s="14"/>
      <c r="I4" s="14"/>
      <c r="J4" s="3"/>
      <c r="K4" s="3"/>
      <c r="L4" s="14"/>
      <c r="M4" s="14"/>
      <c r="N4" s="17" t="s">
        <v>81</v>
      </c>
      <c r="O4" s="17"/>
      <c r="P4" s="3"/>
      <c r="Q4" s="14"/>
      <c r="R4" s="17" t="s">
        <v>82</v>
      </c>
      <c r="S4" s="17"/>
      <c r="T4" s="14" t="s">
        <v>83</v>
      </c>
    </row>
    <row r="5" spans="1:20" s="1" customFormat="1">
      <c r="A5" s="14" t="s">
        <v>15</v>
      </c>
      <c r="B5" s="14" t="s">
        <v>16</v>
      </c>
      <c r="C5" s="14" t="s">
        <v>17</v>
      </c>
      <c r="D5" s="14" t="s">
        <v>18</v>
      </c>
      <c r="E5" s="14" t="s">
        <v>19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31</v>
      </c>
      <c r="K5" s="14" t="s">
        <v>32</v>
      </c>
      <c r="L5" s="14" t="s">
        <v>24</v>
      </c>
      <c r="M5" s="14" t="s">
        <v>25</v>
      </c>
      <c r="N5" s="14" t="s">
        <v>28</v>
      </c>
      <c r="O5" s="14" t="s">
        <v>84</v>
      </c>
      <c r="P5" s="14" t="s">
        <v>33</v>
      </c>
      <c r="Q5" s="14"/>
      <c r="R5" s="14" t="s">
        <v>85</v>
      </c>
      <c r="S5" s="14" t="s">
        <v>86</v>
      </c>
      <c r="T5" s="3" t="s">
        <v>87</v>
      </c>
    </row>
    <row r="6" spans="1:20" s="1" customFormat="1">
      <c r="A6" s="14"/>
      <c r="B6" s="14" t="s">
        <v>43</v>
      </c>
      <c r="C6" s="14" t="s">
        <v>43</v>
      </c>
      <c r="D6" s="14" t="s">
        <v>43</v>
      </c>
      <c r="E6" s="14" t="s">
        <v>44</v>
      </c>
      <c r="F6" s="14" t="s">
        <v>45</v>
      </c>
      <c r="G6" s="14" t="s">
        <v>44</v>
      </c>
      <c r="H6" s="14" t="s">
        <v>45</v>
      </c>
      <c r="I6" s="14" t="s">
        <v>43</v>
      </c>
      <c r="J6" s="14" t="s">
        <v>43</v>
      </c>
      <c r="K6" s="14" t="s">
        <v>43</v>
      </c>
      <c r="L6" s="14"/>
      <c r="M6" s="14" t="s">
        <v>46</v>
      </c>
      <c r="N6" s="14" t="s">
        <v>48</v>
      </c>
      <c r="O6" s="14" t="s">
        <v>88</v>
      </c>
      <c r="P6" s="14" t="s">
        <v>48</v>
      </c>
      <c r="Q6" s="14"/>
      <c r="R6" s="14" t="s">
        <v>48</v>
      </c>
      <c r="S6" s="14" t="s">
        <v>88</v>
      </c>
      <c r="T6" s="14" t="s">
        <v>89</v>
      </c>
    </row>
    <row r="7" spans="1:20" s="1" customFormat="1">
      <c r="A7" s="14" t="s">
        <v>54</v>
      </c>
      <c r="B7" s="14">
        <v>2003</v>
      </c>
      <c r="C7" s="16" t="s">
        <v>55</v>
      </c>
      <c r="D7" s="14"/>
      <c r="E7" s="14"/>
      <c r="F7" s="14"/>
      <c r="G7" s="14" t="s">
        <v>56</v>
      </c>
      <c r="H7" s="14"/>
      <c r="I7" s="14"/>
      <c r="J7"/>
      <c r="K7"/>
      <c r="L7" s="14"/>
      <c r="M7" s="14"/>
      <c r="N7" s="14"/>
      <c r="O7" s="14"/>
      <c r="P7"/>
      <c r="Q7" s="14"/>
      <c r="R7" s="14"/>
      <c r="S7" s="14"/>
      <c r="T7" s="14"/>
    </row>
    <row r="8" spans="1:20">
      <c r="A8" t="s">
        <v>57</v>
      </c>
      <c r="B8">
        <v>120</v>
      </c>
      <c r="C8">
        <v>120</v>
      </c>
      <c r="D8">
        <v>2.65</v>
      </c>
      <c r="E8">
        <v>340</v>
      </c>
      <c r="F8">
        <v>207</v>
      </c>
      <c r="G8">
        <v>16.100000000000001</v>
      </c>
      <c r="H8">
        <v>25.3</v>
      </c>
      <c r="I8">
        <v>360</v>
      </c>
      <c r="J8">
        <v>0</v>
      </c>
      <c r="K8">
        <v>0</v>
      </c>
      <c r="L8">
        <v>3</v>
      </c>
      <c r="M8" s="8">
        <v>0.10142533305761024</v>
      </c>
      <c r="N8">
        <v>640</v>
      </c>
      <c r="O8" s="11">
        <v>0</v>
      </c>
      <c r="P8">
        <v>0</v>
      </c>
      <c r="R8">
        <v>635</v>
      </c>
      <c r="S8">
        <v>0</v>
      </c>
      <c r="T8" s="11">
        <f>N8/R8</f>
        <v>1.0078740157480315</v>
      </c>
    </row>
    <row r="9" spans="1:20">
      <c r="A9" t="s">
        <v>58</v>
      </c>
      <c r="B9">
        <v>120</v>
      </c>
      <c r="C9">
        <v>120</v>
      </c>
      <c r="D9">
        <v>2.65</v>
      </c>
      <c r="E9">
        <v>340</v>
      </c>
      <c r="F9">
        <v>207</v>
      </c>
      <c r="G9">
        <v>16.100000000000001</v>
      </c>
      <c r="H9">
        <v>25.3</v>
      </c>
      <c r="I9">
        <v>360</v>
      </c>
      <c r="J9">
        <v>0</v>
      </c>
      <c r="K9">
        <v>0</v>
      </c>
      <c r="L9">
        <v>3</v>
      </c>
      <c r="M9" s="8">
        <v>0.10142533305761024</v>
      </c>
      <c r="N9">
        <v>664</v>
      </c>
      <c r="O9" s="11">
        <v>0</v>
      </c>
      <c r="P9">
        <v>211</v>
      </c>
      <c r="R9">
        <v>635</v>
      </c>
      <c r="S9">
        <v>0</v>
      </c>
      <c r="T9" s="11">
        <f t="shared" ref="T9:T26" si="0">N9/R9</f>
        <v>1.0456692913385828</v>
      </c>
    </row>
    <row r="10" spans="1:20">
      <c r="A10" t="s">
        <v>59</v>
      </c>
      <c r="B10">
        <v>120</v>
      </c>
      <c r="C10">
        <v>120</v>
      </c>
      <c r="D10">
        <v>2.65</v>
      </c>
      <c r="E10">
        <v>340</v>
      </c>
      <c r="F10">
        <v>207</v>
      </c>
      <c r="G10">
        <v>16.100000000000001</v>
      </c>
      <c r="H10">
        <v>25.3</v>
      </c>
      <c r="I10">
        <v>360</v>
      </c>
      <c r="J10">
        <v>14</v>
      </c>
      <c r="K10">
        <v>14</v>
      </c>
      <c r="L10">
        <v>3</v>
      </c>
      <c r="M10" s="8">
        <v>0.10142533305761024</v>
      </c>
      <c r="N10">
        <v>533</v>
      </c>
      <c r="O10" s="11">
        <f t="shared" ref="O10:O26" si="1">N10*J10/1000</f>
        <v>7.4619999999999997</v>
      </c>
      <c r="P10">
        <v>0</v>
      </c>
      <c r="R10">
        <v>418</v>
      </c>
      <c r="S10">
        <v>11.5</v>
      </c>
      <c r="T10" s="11">
        <f t="shared" si="0"/>
        <v>1.2751196172248804</v>
      </c>
    </row>
    <row r="11" spans="1:20">
      <c r="A11" t="s">
        <v>60</v>
      </c>
      <c r="B11">
        <v>120</v>
      </c>
      <c r="C11">
        <v>120</v>
      </c>
      <c r="D11">
        <v>2.65</v>
      </c>
      <c r="E11">
        <v>340</v>
      </c>
      <c r="F11">
        <v>207</v>
      </c>
      <c r="G11">
        <v>16.100000000000001</v>
      </c>
      <c r="H11">
        <v>25.3</v>
      </c>
      <c r="I11">
        <v>360</v>
      </c>
      <c r="J11">
        <v>14</v>
      </c>
      <c r="K11">
        <v>14</v>
      </c>
      <c r="L11">
        <v>3</v>
      </c>
      <c r="M11" s="8">
        <v>0.10142533305761024</v>
      </c>
      <c r="N11">
        <v>538</v>
      </c>
      <c r="O11" s="11">
        <f t="shared" si="1"/>
        <v>7.532</v>
      </c>
      <c r="P11">
        <v>211</v>
      </c>
      <c r="R11">
        <v>418</v>
      </c>
      <c r="S11">
        <v>11.5</v>
      </c>
      <c r="T11" s="11">
        <f t="shared" si="0"/>
        <v>1.2870813397129186</v>
      </c>
    </row>
    <row r="12" spans="1:20">
      <c r="A12" t="s">
        <v>61</v>
      </c>
      <c r="B12">
        <v>120</v>
      </c>
      <c r="C12">
        <v>120</v>
      </c>
      <c r="D12">
        <v>2.65</v>
      </c>
      <c r="E12">
        <v>340</v>
      </c>
      <c r="F12">
        <v>207</v>
      </c>
      <c r="G12">
        <v>28.8</v>
      </c>
      <c r="H12">
        <v>27.1</v>
      </c>
      <c r="I12">
        <v>360</v>
      </c>
      <c r="J12">
        <v>0</v>
      </c>
      <c r="K12">
        <v>0</v>
      </c>
      <c r="L12">
        <v>3</v>
      </c>
      <c r="M12" s="8">
        <v>0.11291514312974918</v>
      </c>
      <c r="N12">
        <v>816</v>
      </c>
      <c r="O12" s="11">
        <f t="shared" si="1"/>
        <v>0</v>
      </c>
      <c r="P12">
        <v>0</v>
      </c>
      <c r="R12">
        <v>802</v>
      </c>
      <c r="S12">
        <v>0</v>
      </c>
      <c r="T12" s="11">
        <f t="shared" si="0"/>
        <v>1.0174563591022443</v>
      </c>
    </row>
    <row r="13" spans="1:20">
      <c r="A13" t="s">
        <v>62</v>
      </c>
      <c r="B13">
        <v>120</v>
      </c>
      <c r="C13">
        <v>120</v>
      </c>
      <c r="D13">
        <v>2.65</v>
      </c>
      <c r="E13">
        <v>340</v>
      </c>
      <c r="F13">
        <v>207</v>
      </c>
      <c r="G13">
        <v>28.8</v>
      </c>
      <c r="H13">
        <v>27.1</v>
      </c>
      <c r="I13">
        <v>360</v>
      </c>
      <c r="J13">
        <v>0</v>
      </c>
      <c r="K13">
        <v>0</v>
      </c>
      <c r="L13">
        <v>3</v>
      </c>
      <c r="M13" s="8">
        <v>0.11291514312974918</v>
      </c>
      <c r="N13">
        <v>812</v>
      </c>
      <c r="O13" s="11">
        <f t="shared" si="1"/>
        <v>0</v>
      </c>
      <c r="P13">
        <v>211</v>
      </c>
      <c r="R13">
        <v>802</v>
      </c>
      <c r="S13">
        <v>0</v>
      </c>
      <c r="T13" s="11">
        <f t="shared" si="0"/>
        <v>1.0124688279301746</v>
      </c>
    </row>
    <row r="14" spans="1:20">
      <c r="A14" t="s">
        <v>63</v>
      </c>
      <c r="B14">
        <v>120</v>
      </c>
      <c r="C14">
        <v>120</v>
      </c>
      <c r="D14">
        <v>2.65</v>
      </c>
      <c r="E14">
        <v>340</v>
      </c>
      <c r="F14">
        <v>207</v>
      </c>
      <c r="G14">
        <v>28.8</v>
      </c>
      <c r="H14">
        <v>27.1</v>
      </c>
      <c r="I14">
        <v>360</v>
      </c>
      <c r="J14">
        <v>14</v>
      </c>
      <c r="K14">
        <v>14</v>
      </c>
      <c r="L14">
        <v>3</v>
      </c>
      <c r="M14" s="8">
        <v>0.11291514312974918</v>
      </c>
      <c r="N14">
        <v>600</v>
      </c>
      <c r="O14" s="11">
        <f t="shared" si="1"/>
        <v>8.4</v>
      </c>
      <c r="P14">
        <v>0</v>
      </c>
      <c r="R14">
        <v>585</v>
      </c>
      <c r="S14">
        <v>11.5</v>
      </c>
      <c r="T14" s="11">
        <f t="shared" si="0"/>
        <v>1.0256410256410255</v>
      </c>
    </row>
    <row r="15" spans="1:20">
      <c r="A15" t="s">
        <v>64</v>
      </c>
      <c r="B15">
        <v>120</v>
      </c>
      <c r="C15">
        <v>120</v>
      </c>
      <c r="D15">
        <v>2.65</v>
      </c>
      <c r="E15">
        <v>340</v>
      </c>
      <c r="F15">
        <v>207</v>
      </c>
      <c r="G15">
        <v>28.8</v>
      </c>
      <c r="H15">
        <v>27.1</v>
      </c>
      <c r="I15">
        <v>360</v>
      </c>
      <c r="J15">
        <v>14</v>
      </c>
      <c r="K15">
        <v>14</v>
      </c>
      <c r="L15">
        <v>3</v>
      </c>
      <c r="M15" s="8">
        <v>0.11291514312974918</v>
      </c>
      <c r="N15">
        <v>622</v>
      </c>
      <c r="O15" s="11">
        <f t="shared" si="1"/>
        <v>8.7080000000000002</v>
      </c>
      <c r="P15">
        <v>211</v>
      </c>
      <c r="R15">
        <v>585</v>
      </c>
      <c r="S15">
        <v>11.5</v>
      </c>
      <c r="T15" s="11">
        <f t="shared" si="0"/>
        <v>1.0632478632478632</v>
      </c>
    </row>
    <row r="16" spans="1:20">
      <c r="A16" t="s">
        <v>65</v>
      </c>
      <c r="B16">
        <v>120</v>
      </c>
      <c r="C16">
        <v>120</v>
      </c>
      <c r="D16">
        <v>2.65</v>
      </c>
      <c r="E16">
        <v>340</v>
      </c>
      <c r="F16">
        <v>207</v>
      </c>
      <c r="G16">
        <v>28.8</v>
      </c>
      <c r="H16">
        <v>27.1</v>
      </c>
      <c r="I16">
        <v>360</v>
      </c>
      <c r="J16">
        <v>14</v>
      </c>
      <c r="K16">
        <v>14</v>
      </c>
      <c r="L16">
        <v>3</v>
      </c>
      <c r="M16" s="8">
        <v>0.11291514312974918</v>
      </c>
      <c r="N16">
        <v>650</v>
      </c>
      <c r="O16" s="11">
        <f t="shared" si="1"/>
        <v>9.1</v>
      </c>
      <c r="P16">
        <v>127</v>
      </c>
      <c r="R16">
        <v>585</v>
      </c>
      <c r="S16">
        <v>11.5</v>
      </c>
      <c r="T16" s="11">
        <f t="shared" si="0"/>
        <v>1.1111111111111112</v>
      </c>
    </row>
    <row r="17" spans="1:20">
      <c r="A17" t="s">
        <v>66</v>
      </c>
      <c r="B17">
        <v>120</v>
      </c>
      <c r="C17">
        <v>120</v>
      </c>
      <c r="D17">
        <v>2.65</v>
      </c>
      <c r="E17">
        <v>340</v>
      </c>
      <c r="F17">
        <v>207</v>
      </c>
      <c r="G17">
        <v>28.8</v>
      </c>
      <c r="H17">
        <v>27.1</v>
      </c>
      <c r="I17">
        <v>360</v>
      </c>
      <c r="J17">
        <v>31</v>
      </c>
      <c r="K17">
        <v>31</v>
      </c>
      <c r="L17">
        <v>3</v>
      </c>
      <c r="M17" s="8">
        <v>0.11291514312974918</v>
      </c>
      <c r="N17">
        <v>500</v>
      </c>
      <c r="O17" s="11">
        <f t="shared" si="1"/>
        <v>15.5</v>
      </c>
      <c r="P17">
        <v>198</v>
      </c>
      <c r="R17">
        <v>497</v>
      </c>
      <c r="S17">
        <v>15.5</v>
      </c>
      <c r="T17" s="11">
        <f t="shared" si="0"/>
        <v>1.0060362173038229</v>
      </c>
    </row>
    <row r="18" spans="1:20">
      <c r="A18" t="s">
        <v>67</v>
      </c>
      <c r="B18">
        <v>120</v>
      </c>
      <c r="C18">
        <v>120</v>
      </c>
      <c r="D18">
        <v>2.65</v>
      </c>
      <c r="E18">
        <v>340</v>
      </c>
      <c r="F18">
        <v>207</v>
      </c>
      <c r="G18">
        <v>28.8</v>
      </c>
      <c r="H18">
        <v>27.1</v>
      </c>
      <c r="I18">
        <v>1400</v>
      </c>
      <c r="J18">
        <v>0</v>
      </c>
      <c r="K18">
        <v>0</v>
      </c>
      <c r="L18" s="11">
        <v>11.666666666666666</v>
      </c>
      <c r="M18" s="8">
        <v>0.43911444550458018</v>
      </c>
      <c r="N18">
        <v>769</v>
      </c>
      <c r="O18" s="11">
        <f t="shared" si="1"/>
        <v>0</v>
      </c>
      <c r="P18">
        <v>0</v>
      </c>
      <c r="R18">
        <v>758</v>
      </c>
      <c r="S18">
        <v>0</v>
      </c>
      <c r="T18" s="11">
        <f t="shared" si="0"/>
        <v>1.0145118733509235</v>
      </c>
    </row>
    <row r="19" spans="1:20">
      <c r="A19" t="s">
        <v>68</v>
      </c>
      <c r="B19">
        <v>120</v>
      </c>
      <c r="C19">
        <v>120</v>
      </c>
      <c r="D19">
        <v>2.65</v>
      </c>
      <c r="E19">
        <v>340</v>
      </c>
      <c r="F19">
        <v>207</v>
      </c>
      <c r="G19">
        <v>28.8</v>
      </c>
      <c r="H19">
        <v>27.1</v>
      </c>
      <c r="I19">
        <v>1400</v>
      </c>
      <c r="J19">
        <v>0</v>
      </c>
      <c r="K19">
        <v>0</v>
      </c>
      <c r="L19" s="11">
        <v>11.666666666666666</v>
      </c>
      <c r="M19" s="8">
        <v>0.43911444550458018</v>
      </c>
      <c r="N19">
        <v>730</v>
      </c>
      <c r="O19" s="11">
        <f t="shared" si="1"/>
        <v>0</v>
      </c>
      <c r="P19">
        <v>194</v>
      </c>
      <c r="R19">
        <v>758</v>
      </c>
      <c r="S19">
        <v>0</v>
      </c>
      <c r="T19" s="11">
        <f t="shared" si="0"/>
        <v>0.96306068601583117</v>
      </c>
    </row>
    <row r="20" spans="1:20">
      <c r="A20" t="s">
        <v>69</v>
      </c>
      <c r="B20">
        <v>120</v>
      </c>
      <c r="C20">
        <v>120</v>
      </c>
      <c r="D20">
        <v>2.65</v>
      </c>
      <c r="E20">
        <v>340</v>
      </c>
      <c r="F20">
        <v>207</v>
      </c>
      <c r="G20">
        <v>28.8</v>
      </c>
      <c r="H20">
        <v>27.1</v>
      </c>
      <c r="I20">
        <v>1400</v>
      </c>
      <c r="J20">
        <v>14</v>
      </c>
      <c r="K20">
        <v>14</v>
      </c>
      <c r="L20" s="11">
        <v>11.666666666666666</v>
      </c>
      <c r="M20" s="8">
        <v>0.43911444550458018</v>
      </c>
      <c r="N20">
        <v>590</v>
      </c>
      <c r="O20" s="11">
        <f t="shared" si="1"/>
        <v>8.26</v>
      </c>
      <c r="P20">
        <v>0</v>
      </c>
      <c r="R20">
        <v>575</v>
      </c>
      <c r="S20">
        <v>8.1</v>
      </c>
      <c r="T20" s="11">
        <f t="shared" si="0"/>
        <v>1.0260869565217392</v>
      </c>
    </row>
    <row r="21" spans="1:20">
      <c r="A21" t="s">
        <v>70</v>
      </c>
      <c r="B21">
        <v>120</v>
      </c>
      <c r="C21">
        <v>120</v>
      </c>
      <c r="D21">
        <v>2.65</v>
      </c>
      <c r="E21">
        <v>340</v>
      </c>
      <c r="F21">
        <v>207</v>
      </c>
      <c r="G21">
        <v>28.8</v>
      </c>
      <c r="H21">
        <v>27.1</v>
      </c>
      <c r="I21">
        <v>1400</v>
      </c>
      <c r="J21">
        <v>14</v>
      </c>
      <c r="K21">
        <v>14</v>
      </c>
      <c r="L21" s="11">
        <v>11.666666666666666</v>
      </c>
      <c r="M21" s="8">
        <v>0.43911444550458018</v>
      </c>
      <c r="N21">
        <v>560</v>
      </c>
      <c r="O21" s="11">
        <f t="shared" si="1"/>
        <v>7.84</v>
      </c>
      <c r="P21">
        <v>194</v>
      </c>
      <c r="R21">
        <v>575</v>
      </c>
      <c r="S21">
        <v>8.1</v>
      </c>
      <c r="T21" s="11">
        <f t="shared" si="0"/>
        <v>0.97391304347826091</v>
      </c>
    </row>
    <row r="22" spans="1:20">
      <c r="A22" t="s">
        <v>71</v>
      </c>
      <c r="B22">
        <v>120</v>
      </c>
      <c r="C22">
        <v>120</v>
      </c>
      <c r="D22">
        <v>2.65</v>
      </c>
      <c r="E22">
        <v>340</v>
      </c>
      <c r="F22">
        <v>207</v>
      </c>
      <c r="G22">
        <v>28.8</v>
      </c>
      <c r="H22">
        <v>27.1</v>
      </c>
      <c r="I22">
        <v>1400</v>
      </c>
      <c r="J22">
        <v>14</v>
      </c>
      <c r="K22">
        <v>14</v>
      </c>
      <c r="L22" s="11">
        <v>11.666666666666666</v>
      </c>
      <c r="M22" s="8">
        <v>0.43911444550458018</v>
      </c>
      <c r="N22">
        <v>552</v>
      </c>
      <c r="O22" s="11">
        <f t="shared" si="1"/>
        <v>7.7279999999999998</v>
      </c>
      <c r="P22">
        <v>272</v>
      </c>
      <c r="R22">
        <v>575</v>
      </c>
      <c r="S22">
        <v>8.1</v>
      </c>
      <c r="T22" s="11">
        <f t="shared" si="0"/>
        <v>0.96</v>
      </c>
    </row>
    <row r="23" spans="1:20">
      <c r="A23" t="s">
        <v>72</v>
      </c>
      <c r="B23">
        <v>120</v>
      </c>
      <c r="C23">
        <v>120</v>
      </c>
      <c r="D23">
        <v>2.65</v>
      </c>
      <c r="E23">
        <v>340</v>
      </c>
      <c r="F23">
        <v>207</v>
      </c>
      <c r="G23">
        <v>28.8</v>
      </c>
      <c r="H23">
        <v>27.1</v>
      </c>
      <c r="I23">
        <v>1400</v>
      </c>
      <c r="J23">
        <v>31</v>
      </c>
      <c r="K23">
        <v>31</v>
      </c>
      <c r="L23" s="11">
        <v>11.666666666666666</v>
      </c>
      <c r="M23" s="8">
        <v>0.43911444550458018</v>
      </c>
      <c r="N23">
        <v>452</v>
      </c>
      <c r="O23" s="11">
        <f t="shared" si="1"/>
        <v>14.012</v>
      </c>
      <c r="P23">
        <v>194</v>
      </c>
      <c r="R23">
        <v>434</v>
      </c>
      <c r="S23">
        <v>16.5</v>
      </c>
      <c r="T23" s="11">
        <f t="shared" si="0"/>
        <v>1.0414746543778801</v>
      </c>
    </row>
    <row r="24" spans="1:20">
      <c r="A24" t="s">
        <v>73</v>
      </c>
      <c r="B24">
        <v>120</v>
      </c>
      <c r="C24">
        <v>120</v>
      </c>
      <c r="D24">
        <v>2.65</v>
      </c>
      <c r="E24">
        <v>340</v>
      </c>
      <c r="F24">
        <v>207</v>
      </c>
      <c r="G24">
        <v>24</v>
      </c>
      <c r="H24">
        <v>26.8</v>
      </c>
      <c r="I24">
        <v>1400</v>
      </c>
      <c r="J24">
        <v>31</v>
      </c>
      <c r="K24">
        <v>31</v>
      </c>
      <c r="L24" s="11">
        <v>11.666666666666666</v>
      </c>
      <c r="M24" s="8">
        <v>0.42213232257750205</v>
      </c>
      <c r="N24">
        <v>412</v>
      </c>
      <c r="O24" s="11">
        <f t="shared" si="1"/>
        <v>12.772</v>
      </c>
      <c r="P24">
        <v>0</v>
      </c>
      <c r="R24">
        <v>427</v>
      </c>
      <c r="S24">
        <v>14.5</v>
      </c>
      <c r="T24" s="11">
        <f t="shared" si="0"/>
        <v>0.96487119437939106</v>
      </c>
    </row>
    <row r="25" spans="1:20">
      <c r="A25" t="s">
        <v>74</v>
      </c>
      <c r="B25">
        <v>120</v>
      </c>
      <c r="C25">
        <v>120</v>
      </c>
      <c r="D25">
        <v>2.65</v>
      </c>
      <c r="E25">
        <v>340</v>
      </c>
      <c r="F25">
        <v>207</v>
      </c>
      <c r="G25">
        <v>24</v>
      </c>
      <c r="H25">
        <v>26.8</v>
      </c>
      <c r="I25">
        <v>1400</v>
      </c>
      <c r="J25">
        <v>31</v>
      </c>
      <c r="K25">
        <v>31</v>
      </c>
      <c r="L25" s="11">
        <v>11.666666666666666</v>
      </c>
      <c r="M25" s="8">
        <v>0.42213232257750205</v>
      </c>
      <c r="N25">
        <v>397</v>
      </c>
      <c r="O25" s="11">
        <f t="shared" si="1"/>
        <v>12.307</v>
      </c>
      <c r="P25">
        <v>117</v>
      </c>
      <c r="R25">
        <v>427</v>
      </c>
      <c r="S25">
        <v>14.5</v>
      </c>
      <c r="T25" s="11">
        <f t="shared" si="0"/>
        <v>0.92974238875878223</v>
      </c>
    </row>
    <row r="26" spans="1:20">
      <c r="A26" t="s">
        <v>75</v>
      </c>
      <c r="B26">
        <v>120</v>
      </c>
      <c r="C26">
        <v>120</v>
      </c>
      <c r="D26">
        <v>2.65</v>
      </c>
      <c r="E26">
        <v>340</v>
      </c>
      <c r="F26">
        <v>207</v>
      </c>
      <c r="G26">
        <v>24</v>
      </c>
      <c r="H26">
        <v>26.8</v>
      </c>
      <c r="I26">
        <v>1400</v>
      </c>
      <c r="J26">
        <v>31</v>
      </c>
      <c r="K26">
        <v>31</v>
      </c>
      <c r="L26" s="11">
        <v>11.666666666666666</v>
      </c>
      <c r="M26" s="8">
        <v>0.42213232257750205</v>
      </c>
      <c r="N26">
        <v>390</v>
      </c>
      <c r="O26" s="11">
        <f t="shared" si="1"/>
        <v>12.09</v>
      </c>
      <c r="P26">
        <v>272</v>
      </c>
      <c r="R26">
        <v>427</v>
      </c>
      <c r="S26">
        <v>14.5</v>
      </c>
      <c r="T26" s="11">
        <f t="shared" si="0"/>
        <v>0.9133489461358314</v>
      </c>
    </row>
    <row r="27" spans="1:20">
      <c r="S27" s="7" t="s">
        <v>90</v>
      </c>
      <c r="T27" s="12">
        <f>AVERAGE(T8:T26)</f>
        <v>1.03361660059891</v>
      </c>
    </row>
    <row r="28" spans="1:20">
      <c r="S28" t="s">
        <v>91</v>
      </c>
      <c r="T28" s="8">
        <f>STDEV(T8:T26)</f>
        <v>9.8943780693936237E-2</v>
      </c>
    </row>
    <row r="30" spans="1:20">
      <c r="S30" s="15" t="s">
        <v>92</v>
      </c>
      <c r="T30" s="10">
        <f>COUNT(T8:T26)</f>
        <v>19</v>
      </c>
    </row>
    <row r="31" spans="1:20">
      <c r="S31" s="15" t="s">
        <v>93</v>
      </c>
      <c r="T31" s="10">
        <f>COUNTIF(T8:T26,"&lt;1")</f>
        <v>6</v>
      </c>
    </row>
    <row r="32" spans="1:20">
      <c r="S32" s="15" t="s">
        <v>94</v>
      </c>
      <c r="T32" s="13">
        <f>T31/T30</f>
        <v>0.31578947368421051</v>
      </c>
    </row>
  </sheetData>
  <mergeCells count="4">
    <mergeCell ref="R4:S4"/>
    <mergeCell ref="N4:O4"/>
    <mergeCell ref="A1:E1"/>
    <mergeCell ref="G2:L2"/>
  </mergeCells>
  <phoneticPr fontId="0" type="noConversion"/>
  <pageMargins left="0.75" right="0.75" top="1" bottom="1" header="0.5" footer="0.5"/>
  <pageSetup paperSize="9" scale="86" orientation="landscape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2003-12-02T16:04:52Z</dcterms:created>
  <dcterms:modified xsi:type="dcterms:W3CDTF">2018-11-12T15:53:02Z</dcterms:modified>
  <cp:category/>
  <cp:contentStatus/>
</cp:coreProperties>
</file>