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07"/>
  <workbookPr/>
  <mc:AlternateContent xmlns:mc="http://schemas.openxmlformats.org/markup-compatibility/2006">
    <mc:Choice Requires="x15">
      <x15ac:absPath xmlns:x15ac="http://schemas.microsoft.com/office/spreadsheetml/2010/11/ac" url="D:\TempUserProfiles\NetworkService\AppData\OICE_16_974FA576_32C1D314_3B3B\"/>
    </mc:Choice>
  </mc:AlternateContent>
  <xr:revisionPtr revIDLastSave="0" documentId="8_{0A121539-607C-460B-9DF4-B55353772FA0}" xr6:coauthVersionLast="40" xr6:coauthVersionMax="40" xr10:uidLastSave="{00000000-0000-0000-0000-000000000000}"/>
  <bookViews>
    <workbookView xWindow="480" yWindow="45" windowWidth="10380" windowHeight="5265" firstSheet="1" activeTab="1" xr2:uid="{00000000-000D-0000-FFFF-FFFF00000000}"/>
  </bookViews>
  <sheets>
    <sheet name="Data" sheetId="1" r:id="rId1"/>
    <sheet name="Summary" sheetId="2" r:id="rId2"/>
    <sheet name="Graph" sheetId="4" r:id="rId3"/>
    <sheet name="v Sus Load" sheetId="5" r:id="rId4"/>
  </sheets>
  <calcPr calcId="17902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9" i="1" l="1"/>
  <c r="J9" i="1"/>
  <c r="X9" i="1"/>
  <c r="Y9" i="1"/>
  <c r="Z9" i="1"/>
  <c r="AA9" i="1"/>
  <c r="Q9" i="1"/>
  <c r="AB9" i="1"/>
  <c r="AC9" i="1"/>
  <c r="K9" i="1"/>
  <c r="L9" i="1"/>
  <c r="M9" i="1"/>
  <c r="R9" i="1"/>
  <c r="AD9" i="1"/>
  <c r="AE9" i="1"/>
  <c r="S9" i="1"/>
  <c r="T9" i="1"/>
  <c r="U9" i="1"/>
  <c r="V9" i="1"/>
  <c r="H10" i="1"/>
  <c r="J10" i="1"/>
  <c r="X10" i="1"/>
  <c r="Y10" i="1"/>
  <c r="Z10" i="1"/>
  <c r="AA10" i="1"/>
  <c r="Q10" i="1"/>
  <c r="AB10" i="1"/>
  <c r="AC10" i="1"/>
  <c r="K10" i="1"/>
  <c r="L10" i="1"/>
  <c r="M10" i="1"/>
  <c r="R10" i="1"/>
  <c r="AD10" i="1"/>
  <c r="AE10" i="1"/>
  <c r="S10" i="1"/>
  <c r="T10" i="1"/>
  <c r="U10" i="1"/>
  <c r="V10" i="1"/>
  <c r="H11" i="1"/>
  <c r="J11" i="1"/>
  <c r="X11" i="1"/>
  <c r="Y11" i="1"/>
  <c r="Z11" i="1"/>
  <c r="AA11" i="1"/>
  <c r="Q11" i="1"/>
  <c r="AB11" i="1"/>
  <c r="AC11" i="1"/>
  <c r="K11" i="1"/>
  <c r="L11" i="1"/>
  <c r="M11" i="1"/>
  <c r="R11" i="1"/>
  <c r="AD11" i="1"/>
  <c r="AE11" i="1"/>
  <c r="S11" i="1"/>
  <c r="T11" i="1"/>
  <c r="U11" i="1"/>
  <c r="V11" i="1"/>
  <c r="H12" i="1"/>
  <c r="J12" i="1"/>
  <c r="X12" i="1"/>
  <c r="Y12" i="1"/>
  <c r="Z12" i="1"/>
  <c r="AA12" i="1"/>
  <c r="Q12" i="1"/>
  <c r="AB12" i="1"/>
  <c r="AC12" i="1"/>
  <c r="K12" i="1"/>
  <c r="L12" i="1"/>
  <c r="M12" i="1"/>
  <c r="R12" i="1"/>
  <c r="AD12" i="1"/>
  <c r="AE12" i="1"/>
  <c r="S12" i="1"/>
  <c r="T12" i="1"/>
  <c r="U12" i="1"/>
  <c r="V12" i="1"/>
  <c r="H13" i="1"/>
  <c r="J13" i="1"/>
  <c r="X13" i="1"/>
  <c r="Y13" i="1"/>
  <c r="Z13" i="1"/>
  <c r="AA13" i="1"/>
  <c r="Q13" i="1"/>
  <c r="AB13" i="1"/>
  <c r="AC13" i="1"/>
  <c r="K13" i="1"/>
  <c r="L13" i="1"/>
  <c r="M13" i="1"/>
  <c r="R13" i="1"/>
  <c r="AD13" i="1"/>
  <c r="AE13" i="1"/>
  <c r="S13" i="1"/>
  <c r="T13" i="1"/>
  <c r="U13" i="1"/>
  <c r="V13" i="1"/>
  <c r="H14" i="1"/>
  <c r="J14" i="1"/>
  <c r="X14" i="1"/>
  <c r="Y14" i="1"/>
  <c r="Z14" i="1"/>
  <c r="AA14" i="1"/>
  <c r="Q14" i="1"/>
  <c r="AB14" i="1"/>
  <c r="AC14" i="1"/>
  <c r="K14" i="1"/>
  <c r="L14" i="1"/>
  <c r="M14" i="1"/>
  <c r="R14" i="1"/>
  <c r="AD14" i="1"/>
  <c r="AE14" i="1"/>
  <c r="S14" i="1"/>
  <c r="T14" i="1"/>
  <c r="U14" i="1"/>
  <c r="V14" i="1"/>
  <c r="H15" i="1"/>
  <c r="J15" i="1"/>
  <c r="X15" i="1"/>
  <c r="Y15" i="1"/>
  <c r="Z15" i="1"/>
  <c r="AA15" i="1"/>
  <c r="Q15" i="1"/>
  <c r="AB15" i="1"/>
  <c r="AC15" i="1"/>
  <c r="K15" i="1"/>
  <c r="L15" i="1"/>
  <c r="M15" i="1"/>
  <c r="R15" i="1"/>
  <c r="AD15" i="1"/>
  <c r="AE15" i="1"/>
  <c r="S15" i="1"/>
  <c r="T15" i="1"/>
  <c r="U15" i="1"/>
  <c r="V15" i="1"/>
  <c r="H16" i="1"/>
  <c r="J16" i="1"/>
  <c r="X16" i="1"/>
  <c r="Y16" i="1"/>
  <c r="Z16" i="1"/>
  <c r="AA16" i="1"/>
  <c r="Q16" i="1"/>
  <c r="AB16" i="1"/>
  <c r="AC16" i="1"/>
  <c r="K16" i="1"/>
  <c r="L16" i="1"/>
  <c r="M16" i="1"/>
  <c r="R16" i="1"/>
  <c r="AD16" i="1"/>
  <c r="AE16" i="1"/>
  <c r="S16" i="1"/>
  <c r="T16" i="1"/>
  <c r="U16" i="1"/>
  <c r="V16" i="1"/>
  <c r="J19" i="1"/>
  <c r="X19" i="1"/>
  <c r="Y19" i="1"/>
  <c r="Z19" i="1"/>
  <c r="AA19" i="1"/>
  <c r="Q19" i="1"/>
  <c r="AB19" i="1"/>
  <c r="AC19" i="1"/>
  <c r="K19" i="1"/>
  <c r="L19" i="1"/>
  <c r="M19" i="1"/>
  <c r="R19" i="1"/>
  <c r="AD19" i="1"/>
  <c r="AE19" i="1"/>
  <c r="S19" i="1"/>
  <c r="T19" i="1"/>
  <c r="U19" i="1"/>
  <c r="V19" i="1"/>
  <c r="J20" i="1"/>
  <c r="X20" i="1"/>
  <c r="Y20" i="1"/>
  <c r="Z20" i="1"/>
  <c r="AA20" i="1"/>
  <c r="Q20" i="1"/>
  <c r="AB20" i="1"/>
  <c r="AC20" i="1"/>
  <c r="K20" i="1"/>
  <c r="L20" i="1"/>
  <c r="M20" i="1"/>
  <c r="R20" i="1"/>
  <c r="AD20" i="1"/>
  <c r="AE20" i="1"/>
  <c r="S20" i="1"/>
  <c r="T20" i="1"/>
  <c r="U20" i="1"/>
  <c r="V20" i="1"/>
  <c r="J21" i="1"/>
  <c r="X21" i="1"/>
  <c r="Y21" i="1"/>
  <c r="Z21" i="1"/>
  <c r="AA21" i="1"/>
  <c r="Q21" i="1"/>
  <c r="AB21" i="1"/>
  <c r="AC21" i="1"/>
  <c r="K21" i="1"/>
  <c r="L21" i="1"/>
  <c r="M21" i="1"/>
  <c r="R21" i="1"/>
  <c r="AD21" i="1"/>
  <c r="AE21" i="1"/>
  <c r="S21" i="1"/>
  <c r="T21" i="1"/>
  <c r="U21" i="1"/>
  <c r="V21" i="1"/>
  <c r="J22" i="1"/>
  <c r="X22" i="1"/>
  <c r="Y22" i="1"/>
  <c r="Z22" i="1"/>
  <c r="AA22" i="1"/>
  <c r="Q22" i="1"/>
  <c r="AB22" i="1"/>
  <c r="AC22" i="1"/>
  <c r="K22" i="1"/>
  <c r="L22" i="1"/>
  <c r="M22" i="1"/>
  <c r="R22" i="1"/>
  <c r="AD22" i="1"/>
  <c r="AE22" i="1"/>
  <c r="S22" i="1"/>
  <c r="T22" i="1"/>
  <c r="U22" i="1"/>
  <c r="V22" i="1"/>
  <c r="J23" i="1"/>
  <c r="X23" i="1"/>
  <c r="Y23" i="1"/>
  <c r="Z23" i="1"/>
  <c r="AA23" i="1"/>
  <c r="Q23" i="1"/>
  <c r="AB23" i="1"/>
  <c r="AC23" i="1"/>
  <c r="K23" i="1"/>
  <c r="L23" i="1"/>
  <c r="M23" i="1"/>
  <c r="R23" i="1"/>
  <c r="AD23" i="1"/>
  <c r="AE23" i="1"/>
  <c r="S23" i="1"/>
  <c r="T23" i="1"/>
  <c r="U23" i="1"/>
  <c r="V23" i="1"/>
  <c r="J24" i="1"/>
  <c r="X24" i="1"/>
  <c r="Y24" i="1"/>
  <c r="Z24" i="1"/>
  <c r="AA24" i="1"/>
  <c r="Q24" i="1"/>
  <c r="AB24" i="1"/>
  <c r="AC24" i="1"/>
  <c r="K24" i="1"/>
  <c r="L24" i="1"/>
  <c r="M24" i="1"/>
  <c r="R24" i="1"/>
  <c r="AD24" i="1"/>
  <c r="AE24" i="1"/>
  <c r="S24" i="1"/>
  <c r="T24" i="1"/>
  <c r="U24" i="1"/>
  <c r="V24" i="1"/>
  <c r="M26" i="1"/>
  <c r="A9" i="2"/>
  <c r="A10" i="2"/>
  <c r="B10" i="2"/>
  <c r="C10" i="2"/>
  <c r="D10" i="2"/>
  <c r="E10" i="2"/>
  <c r="A11" i="2"/>
  <c r="B11" i="2"/>
  <c r="C11" i="2"/>
  <c r="D11" i="2"/>
  <c r="E11" i="2"/>
  <c r="A12" i="2"/>
  <c r="B12" i="2"/>
  <c r="C12" i="2"/>
  <c r="D12" i="2"/>
  <c r="E12" i="2"/>
  <c r="A13" i="2"/>
  <c r="B13" i="2"/>
  <c r="C13" i="2"/>
  <c r="D13" i="2"/>
  <c r="E13" i="2"/>
  <c r="A14" i="2"/>
  <c r="B14" i="2"/>
  <c r="C14" i="2"/>
  <c r="D14" i="2"/>
  <c r="E14" i="2"/>
  <c r="A15" i="2"/>
  <c r="B15" i="2"/>
  <c r="C15" i="2"/>
  <c r="D15" i="2"/>
  <c r="E15" i="2"/>
  <c r="A16" i="2"/>
  <c r="B16" i="2"/>
  <c r="C16" i="2"/>
  <c r="D16" i="2"/>
  <c r="E16" i="2"/>
  <c r="A17" i="2"/>
  <c r="B17" i="2"/>
  <c r="C17" i="2"/>
  <c r="D17" i="2"/>
  <c r="E17" i="2"/>
  <c r="D18" i="2"/>
  <c r="D19" i="2"/>
  <c r="D20" i="2"/>
  <c r="D21" i="2"/>
  <c r="D23" i="2"/>
  <c r="D24" i="2"/>
  <c r="D25" i="2"/>
  <c r="D26" i="2"/>
  <c r="D27" i="2"/>
  <c r="D28" i="2"/>
  <c r="D30" i="2"/>
  <c r="D31" i="2"/>
  <c r="D32" i="2"/>
  <c r="D33" i="2"/>
  <c r="D34" i="2"/>
  <c r="D35" i="2"/>
  <c r="D37" i="2" a="1"/>
  <c r="D37" i="2"/>
</calcChain>
</file>

<file path=xl/sharedStrings.xml><?xml version="1.0" encoding="utf-8"?>
<sst xmlns="http://schemas.openxmlformats.org/spreadsheetml/2006/main" count="145" uniqueCount="95">
  <si>
    <t>Long Rectangular Columns with Sustained Load</t>
  </si>
  <si>
    <t>Data</t>
  </si>
  <si>
    <t xml:space="preserve">*  Ec = </t>
  </si>
  <si>
    <t>22*((fcyl+8)/10)^0.3</t>
  </si>
  <si>
    <t>Short</t>
  </si>
  <si>
    <t>Long</t>
  </si>
  <si>
    <t>local</t>
  </si>
  <si>
    <t>Test</t>
  </si>
  <si>
    <t>Sustain.</t>
  </si>
  <si>
    <r>
      <t>N</t>
    </r>
    <r>
      <rPr>
        <sz val="10"/>
        <rFont val="Arial"/>
      </rPr>
      <t>plRd</t>
    </r>
  </si>
  <si>
    <r>
      <t>ChiN</t>
    </r>
    <r>
      <rPr>
        <sz val="10"/>
        <rFont val="Arial"/>
        <family val="2"/>
      </rPr>
      <t>plR</t>
    </r>
  </si>
  <si>
    <t>Sus.</t>
  </si>
  <si>
    <t>d</t>
  </si>
  <si>
    <t>|&lt;---</t>
  </si>
  <si>
    <t>suplement</t>
  </si>
  <si>
    <t>ary</t>
  </si>
  <si>
    <t>calculation</t>
  </si>
  <si>
    <t>---&gt;|</t>
  </si>
  <si>
    <t>Ref. No.</t>
  </si>
  <si>
    <t>b</t>
  </si>
  <si>
    <t>h</t>
  </si>
  <si>
    <t>t</t>
  </si>
  <si>
    <t>Yield</t>
  </si>
  <si>
    <t>Es</t>
  </si>
  <si>
    <t>fcyl</t>
  </si>
  <si>
    <t>Ec</t>
  </si>
  <si>
    <t>Length</t>
  </si>
  <si>
    <t>L/b</t>
  </si>
  <si>
    <t>Slender-</t>
  </si>
  <si>
    <t>h/t</t>
  </si>
  <si>
    <t>buckling</t>
  </si>
  <si>
    <t>Nmax</t>
  </si>
  <si>
    <t>Load</t>
  </si>
  <si>
    <r>
      <t>d</t>
    </r>
    <r>
      <rPr>
        <sz val="10"/>
        <rFont val="Arial"/>
        <family val="2"/>
      </rPr>
      <t>o</t>
    </r>
  </si>
  <si>
    <t>EC4</t>
  </si>
  <si>
    <t>Asfy</t>
  </si>
  <si>
    <t>Bc</t>
  </si>
  <si>
    <t>Hc</t>
  </si>
  <si>
    <t>Ac</t>
  </si>
  <si>
    <t>As</t>
  </si>
  <si>
    <t>(EI)e</t>
  </si>
  <si>
    <t>Ncr</t>
  </si>
  <si>
    <t>phi</t>
  </si>
  <si>
    <t>Chi</t>
  </si>
  <si>
    <t>mm</t>
  </si>
  <si>
    <t>Mpa</t>
  </si>
  <si>
    <t>Gpa</t>
  </si>
  <si>
    <t>ness</t>
  </si>
  <si>
    <t>if &gt; 1</t>
  </si>
  <si>
    <t>kN</t>
  </si>
  <si>
    <t>Npl,Rd</t>
  </si>
  <si>
    <t>mm2</t>
  </si>
  <si>
    <t>kNmm^2</t>
  </si>
  <si>
    <t>Han &amp; Yang</t>
  </si>
  <si>
    <t>Ref. 68</t>
  </si>
  <si>
    <t>Sus = Load (kN) sustained for 180 days  *</t>
  </si>
  <si>
    <t>R-1</t>
  </si>
  <si>
    <t>R-2</t>
  </si>
  <si>
    <t>R-3</t>
  </si>
  <si>
    <t>R-4</t>
  </si>
  <si>
    <t>R-5</t>
  </si>
  <si>
    <t>R-6</t>
  </si>
  <si>
    <t>R-7</t>
  </si>
  <si>
    <t>R-8</t>
  </si>
  <si>
    <t>Han et al</t>
  </si>
  <si>
    <t>Ref. 76</t>
  </si>
  <si>
    <t>Sus. = Load (kN) suatained for 120 days</t>
  </si>
  <si>
    <t>1  S-1</t>
  </si>
  <si>
    <t>2  S-1-L-1</t>
  </si>
  <si>
    <t>3  S-1L-2</t>
  </si>
  <si>
    <t>4  S-2</t>
  </si>
  <si>
    <t>5  S-2-L-1</t>
  </si>
  <si>
    <t>6  S-2-L-2</t>
  </si>
  <si>
    <t>loc B &gt;1</t>
  </si>
  <si>
    <t>None</t>
  </si>
  <si>
    <t>Rectangular Columns with</t>
  </si>
  <si>
    <t>Sustained Load  (Sus. kN)</t>
  </si>
  <si>
    <t>Summary</t>
  </si>
  <si>
    <t>ChiNplR</t>
  </si>
  <si>
    <t>Av (4) =</t>
  </si>
  <si>
    <t>Zero Sustained Load</t>
  </si>
  <si>
    <t>St Dev=</t>
  </si>
  <si>
    <t>Sus. Load av 0.53 Nu</t>
  </si>
  <si>
    <t>with sus. Load</t>
  </si>
  <si>
    <t>Av (2)=</t>
  </si>
  <si>
    <t>Av (4)=</t>
  </si>
  <si>
    <t>Sus. Load av 0.63 Nu</t>
  </si>
  <si>
    <t>St Dev(4)</t>
  </si>
  <si>
    <t>with sus. load</t>
  </si>
  <si>
    <t xml:space="preserve">OA </t>
  </si>
  <si>
    <t>Av (14) =</t>
  </si>
  <si>
    <t>St Dev =</t>
  </si>
  <si>
    <t>Av (8)=</t>
  </si>
  <si>
    <t>St Dev(8)</t>
  </si>
  <si>
    <t>No. &lt;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</si>
</sst>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E+00"/>
  </numFmts>
  <fonts count="5">
    <font>
      <sz val="10"/>
      <name val="Arial"/>
    </font>
    <font>
      <b/>
      <sz val="10"/>
      <name val="Arial"/>
      <family val="2"/>
    </font>
    <font>
      <b/>
      <sz val="10"/>
      <name val="Symbol"/>
      <family val="1"/>
      <charset val="2"/>
    </font>
    <font>
      <sz val="10"/>
      <name val="Arial"/>
      <family val="2"/>
    </font>
    <font>
      <b/>
      <u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right"/>
    </xf>
    <xf numFmtId="2" fontId="0" fillId="0" borderId="0" xfId="0" applyNumberFormat="1"/>
    <xf numFmtId="164" fontId="0" fillId="0" borderId="0" xfId="0" applyNumberFormat="1"/>
    <xf numFmtId="165" fontId="0" fillId="0" borderId="0" xfId="0" applyNumberFormat="1"/>
    <xf numFmtId="1" fontId="0" fillId="0" borderId="0" xfId="0" applyNumberForma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/>
    <xf numFmtId="0" fontId="0" fillId="0" borderId="0" xfId="0" quotePrefix="1" applyAlignment="1">
      <alignment horizontal="right"/>
    </xf>
    <xf numFmtId="166" fontId="0" fillId="0" borderId="0" xfId="0" applyNumberFormat="1"/>
    <xf numFmtId="0" fontId="3" fillId="0" borderId="0" xfId="0" applyFont="1" applyAlignment="1">
      <alignment horizontal="right"/>
    </xf>
    <xf numFmtId="2" fontId="1" fillId="0" borderId="0" xfId="0" applyNumberFormat="1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chartsheet" Target="chartsheets/sheet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hartsheet" Target="chartsheets/sheet2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25" b="1" i="0" u="none" strike="noStrike" baseline="0">
                <a:solidFill>
                  <a:srgbClr val="00008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Rectangular CFST Columns with Sustained Load.  Tests v EC4</a:t>
            </a:r>
          </a:p>
        </c:rich>
      </c:tx>
      <c:layout>
        <c:manualLayout>
          <c:xMode val="edge"/>
          <c:yMode val="edge"/>
          <c:x val="0.30521642619311878"/>
          <c:y val="1.957585644371941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5471698113207544E-2"/>
          <c:y val="9.461663947797716E-2"/>
          <c:w val="0.86570477247502775"/>
          <c:h val="0.80587275693311577"/>
        </c:manualLayout>
      </c:layout>
      <c:scatterChart>
        <c:scatterStyle val="lineMarker"/>
        <c:varyColors val="0"/>
        <c:ser>
          <c:idx val="0"/>
          <c:order val="0"/>
          <c:tx>
            <c:v> Han '03 Zero sus (4)</c:v>
          </c:tx>
          <c:spPr>
            <a:ln w="19050">
              <a:noFill/>
            </a:ln>
          </c:spPr>
          <c:marker>
            <c:symbol val="squar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(Summary!$C$10,Summary!$C$12,Summary!$C$14,Summary!$C$16)</c:f>
              <c:numCache>
                <c:formatCode>0</c:formatCode>
                <c:ptCount val="4"/>
                <c:pt idx="0">
                  <c:v>541.70039483039864</c:v>
                </c:pt>
                <c:pt idx="1">
                  <c:v>695.49910812782298</c:v>
                </c:pt>
                <c:pt idx="2">
                  <c:v>635.97991412493775</c:v>
                </c:pt>
                <c:pt idx="3">
                  <c:v>903.49138542788489</c:v>
                </c:pt>
              </c:numCache>
            </c:numRef>
          </c:xVal>
          <c:yVal>
            <c:numRef>
              <c:f>(Summary!$B$10,Summary!$B$12,Summary!$B$14,Summary!$B$16)</c:f>
              <c:numCache>
                <c:formatCode>General</c:formatCode>
                <c:ptCount val="4"/>
                <c:pt idx="0">
                  <c:v>490</c:v>
                </c:pt>
                <c:pt idx="1">
                  <c:v>680</c:v>
                </c:pt>
                <c:pt idx="2">
                  <c:v>570</c:v>
                </c:pt>
                <c:pt idx="3">
                  <c:v>825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19C-4324-A400-C8E95B7E4902}"/>
            </c:ext>
          </c:extLst>
        </c:ser>
        <c:ser>
          <c:idx val="1"/>
          <c:order val="1"/>
          <c:tx>
            <c:v> Han '03 Sus (4)</c:v>
          </c:tx>
          <c:spPr>
            <a:ln w="19050">
              <a:noFill/>
            </a:ln>
          </c:spPr>
          <c:marker>
            <c:symbol val="diamond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(Summary!$C$11,Summary!$C$13,Summary!$C$15,Summary!$C$17)</c:f>
              <c:numCache>
                <c:formatCode>0</c:formatCode>
                <c:ptCount val="4"/>
                <c:pt idx="0">
                  <c:v>541.70039483039864</c:v>
                </c:pt>
                <c:pt idx="1">
                  <c:v>695.49910812782298</c:v>
                </c:pt>
                <c:pt idx="2">
                  <c:v>635.97991412493775</c:v>
                </c:pt>
                <c:pt idx="3">
                  <c:v>903.49138542788489</c:v>
                </c:pt>
              </c:numCache>
            </c:numRef>
          </c:xVal>
          <c:yVal>
            <c:numRef>
              <c:f>(Summary!$B$11,Summary!$B$13,Summary!$B$15,Summary!$B$17)</c:f>
              <c:numCache>
                <c:formatCode>General</c:formatCode>
                <c:ptCount val="4"/>
                <c:pt idx="0">
                  <c:v>585</c:v>
                </c:pt>
                <c:pt idx="1">
                  <c:v>748</c:v>
                </c:pt>
                <c:pt idx="2">
                  <c:v>690</c:v>
                </c:pt>
                <c:pt idx="3">
                  <c:v>885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19C-4324-A400-C8E95B7E4902}"/>
            </c:ext>
          </c:extLst>
        </c:ser>
        <c:ser>
          <c:idx val="2"/>
          <c:order val="2"/>
          <c:tx>
            <c:v> Han '04 Sus. (4)</c:v>
          </c:tx>
          <c:spPr>
            <a:ln w="19050">
              <a:noFill/>
            </a:ln>
          </c:spPr>
          <c:marker>
            <c:symbol val="triang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(Summary!$C$24,Summary!$C$25,Summary!$C$27,Summary!$C$28)</c:f>
              <c:numCache>
                <c:formatCode>0</c:formatCode>
                <c:ptCount val="4"/>
                <c:pt idx="0">
                  <c:v>575.78138199753198</c:v>
                </c:pt>
                <c:pt idx="1">
                  <c:v>575.78138199753198</c:v>
                </c:pt>
                <c:pt idx="2">
                  <c:v>760.18639002400005</c:v>
                </c:pt>
                <c:pt idx="3">
                  <c:v>760.18639002400005</c:v>
                </c:pt>
              </c:numCache>
            </c:numRef>
          </c:xVal>
          <c:yVal>
            <c:numRef>
              <c:f>(Summary!$B$24,Summary!$B$25,Summary!$B$27,Summary!$B$28)</c:f>
              <c:numCache>
                <c:formatCode>General</c:formatCode>
                <c:ptCount val="4"/>
                <c:pt idx="0">
                  <c:v>800</c:v>
                </c:pt>
                <c:pt idx="1">
                  <c:v>853</c:v>
                </c:pt>
                <c:pt idx="2">
                  <c:v>1088</c:v>
                </c:pt>
                <c:pt idx="3">
                  <c:v>1144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C19C-4324-A400-C8E95B7E4902}"/>
            </c:ext>
          </c:extLst>
        </c:ser>
        <c:ser>
          <c:idx val="3"/>
          <c:order val="3"/>
          <c:tx>
            <c:v> Han '04 Zero sus (2)</c:v>
          </c:tx>
          <c:spPr>
            <a:ln w="19050">
              <a:noFill/>
            </a:ln>
          </c:spPr>
          <c:marker>
            <c:symbol val="x"/>
            <c:size val="6"/>
            <c:spPr>
              <a:noFill/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(Summary!$C$23,Summary!$C$26)</c:f>
              <c:numCache>
                <c:formatCode>0</c:formatCode>
                <c:ptCount val="2"/>
                <c:pt idx="0">
                  <c:v>575.78138199753198</c:v>
                </c:pt>
                <c:pt idx="1">
                  <c:v>760.18639002400005</c:v>
                </c:pt>
              </c:numCache>
            </c:numRef>
          </c:xVal>
          <c:yVal>
            <c:numRef>
              <c:f>(Summary!$B$23,Summary!$B$26)</c:f>
              <c:numCache>
                <c:formatCode>General</c:formatCode>
                <c:ptCount val="2"/>
                <c:pt idx="0">
                  <c:v>802</c:v>
                </c:pt>
                <c:pt idx="1">
                  <c:v>1054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C19C-4324-A400-C8E95B7E49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25526623"/>
        <c:axId val="1"/>
      </c:scatterChart>
      <c:valAx>
        <c:axId val="1825526623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25" b="0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Eurocode 4  kN</a:t>
                </a:r>
              </a:p>
            </c:rich>
          </c:tx>
          <c:layout>
            <c:manualLayout>
              <c:xMode val="edge"/>
              <c:yMode val="edge"/>
              <c:x val="0.46614872364039955"/>
              <c:y val="0.9445350734094616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8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25" b="0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Test result  kN</a:t>
                </a:r>
              </a:p>
            </c:rich>
          </c:tx>
          <c:layout>
            <c:manualLayout>
              <c:xMode val="edge"/>
              <c:yMode val="edge"/>
              <c:x val="1.4428412874583796E-2"/>
              <c:y val="0.438825448613376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8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825526623"/>
        <c:crosses val="autoZero"/>
        <c:crossBetween val="midCat"/>
      </c:valAx>
      <c:spPr>
        <a:solidFill>
          <a:srgbClr val="FFFFCC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9589345172031081"/>
          <c:y val="0.69004893964110925"/>
          <c:w val="0.23085460599334073"/>
          <c:h val="0.1778140293637846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8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925" b="0" i="0" u="none" strike="noStrike" baseline="0">
          <a:solidFill>
            <a:srgbClr val="00008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 Long Rectangular CFST Columns.   Ratio  Test/EC4 v Sustained Load</a:t>
            </a:r>
          </a:p>
        </c:rich>
      </c:tx>
      <c:layout>
        <c:manualLayout>
          <c:xMode val="edge"/>
          <c:yMode val="edge"/>
          <c:x val="0.2241953385127636"/>
          <c:y val="1.957585644371941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2142064372918979E-2"/>
          <c:y val="0.17455138662316477"/>
          <c:w val="0.87458379578246392"/>
          <c:h val="0.62969004893964109"/>
        </c:manualLayout>
      </c:layout>
      <c:scatterChart>
        <c:scatterStyle val="lineMarker"/>
        <c:varyColors val="0"/>
        <c:ser>
          <c:idx val="0"/>
          <c:order val="0"/>
          <c:tx>
            <c:v> Han '03 (8)</c:v>
          </c:tx>
          <c:spPr>
            <a:ln w="19050">
              <a:noFill/>
            </a:ln>
          </c:spPr>
          <c:marker>
            <c:symbol val="circle"/>
            <c:size val="6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Data!$O$9:$O$16</c:f>
              <c:numCache>
                <c:formatCode>General</c:formatCode>
                <c:ptCount val="8"/>
                <c:pt idx="0">
                  <c:v>0</c:v>
                </c:pt>
                <c:pt idx="1">
                  <c:v>304</c:v>
                </c:pt>
                <c:pt idx="2">
                  <c:v>0</c:v>
                </c:pt>
                <c:pt idx="3">
                  <c:v>382</c:v>
                </c:pt>
                <c:pt idx="4">
                  <c:v>0</c:v>
                </c:pt>
                <c:pt idx="5">
                  <c:v>338</c:v>
                </c:pt>
                <c:pt idx="6">
                  <c:v>0</c:v>
                </c:pt>
                <c:pt idx="7">
                  <c:v>424</c:v>
                </c:pt>
              </c:numCache>
            </c:numRef>
          </c:xVal>
          <c:yVal>
            <c:numRef>
              <c:f>Summary!$D$10:$D$17</c:f>
              <c:numCache>
                <c:formatCode>0.00</c:formatCode>
                <c:ptCount val="8"/>
                <c:pt idx="0">
                  <c:v>0.90455906009338327</c:v>
                </c:pt>
                <c:pt idx="1">
                  <c:v>1.0799327554176106</c:v>
                </c:pt>
                <c:pt idx="2">
                  <c:v>0.97771512867997168</c:v>
                </c:pt>
                <c:pt idx="3">
                  <c:v>1.0754866415479689</c:v>
                </c:pt>
                <c:pt idx="4">
                  <c:v>0.89625472022065145</c:v>
                </c:pt>
                <c:pt idx="5">
                  <c:v>1.0849399244776308</c:v>
                </c:pt>
                <c:pt idx="6">
                  <c:v>0.91312436765436111</c:v>
                </c:pt>
                <c:pt idx="7">
                  <c:v>0.97953341257467819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CFA-42AC-9EF7-37BA7F358D20}"/>
            </c:ext>
          </c:extLst>
        </c:ser>
        <c:ser>
          <c:idx val="1"/>
          <c:order val="1"/>
          <c:tx>
            <c:v> Han '04 (6)</c:v>
          </c:tx>
          <c:spPr>
            <a:ln w="19050">
              <a:noFill/>
            </a:ln>
          </c:spPr>
          <c:marker>
            <c:symbol val="squar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Data!$O$19:$O$24</c:f>
              <c:numCache>
                <c:formatCode>General</c:formatCode>
                <c:ptCount val="6"/>
                <c:pt idx="0">
                  <c:v>0</c:v>
                </c:pt>
                <c:pt idx="1">
                  <c:v>360</c:v>
                </c:pt>
                <c:pt idx="2">
                  <c:v>360</c:v>
                </c:pt>
                <c:pt idx="3">
                  <c:v>0</c:v>
                </c:pt>
                <c:pt idx="4">
                  <c:v>470</c:v>
                </c:pt>
                <c:pt idx="5">
                  <c:v>470</c:v>
                </c:pt>
              </c:numCache>
            </c:numRef>
          </c:xVal>
          <c:yVal>
            <c:numRef>
              <c:f>Data!$T$19:$T$24</c:f>
              <c:numCache>
                <c:formatCode>0.00</c:formatCode>
                <c:ptCount val="6"/>
                <c:pt idx="0">
                  <c:v>1.3928897756604393</c:v>
                </c:pt>
                <c:pt idx="1">
                  <c:v>1.3894162350727575</c:v>
                </c:pt>
                <c:pt idx="2">
                  <c:v>1.4814650606463275</c:v>
                </c:pt>
                <c:pt idx="3">
                  <c:v>1.3865020655877882</c:v>
                </c:pt>
                <c:pt idx="4">
                  <c:v>1.4312279386712652</c:v>
                </c:pt>
                <c:pt idx="5">
                  <c:v>1.5048940825734627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CFA-42AC-9EF7-37BA7F358D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25525375"/>
        <c:axId val="1"/>
      </c:scatterChart>
      <c:valAx>
        <c:axId val="1825525375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Sustained load  kN</a:t>
                </a:r>
              </a:p>
            </c:rich>
          </c:tx>
          <c:layout>
            <c:manualLayout>
              <c:xMode val="edge"/>
              <c:yMode val="edge"/>
              <c:x val="0.44950055493895674"/>
              <c:y val="0.8531810766721044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crossBetween val="midCat"/>
      </c:valAx>
      <c:valAx>
        <c:axId val="1"/>
        <c:scaling>
          <c:orientation val="minMax"/>
          <c:min val="0.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Ratio  Test/EC4</a:t>
                </a:r>
              </a:p>
            </c:rich>
          </c:tx>
          <c:layout>
            <c:manualLayout>
              <c:xMode val="edge"/>
              <c:yMode val="edge"/>
              <c:x val="1.5538290788013319E-2"/>
              <c:y val="0.41761827079934749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825525375"/>
        <c:crosses val="autoZero"/>
        <c:crossBetween val="midCat"/>
        <c:majorUnit val="0.1"/>
      </c:valAx>
      <c:spPr>
        <a:solidFill>
          <a:srgbClr val="FFFFCC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6748057713651496"/>
          <c:y val="0.73735725938009788"/>
          <c:w val="0.30299667036625971"/>
          <c:h val="4.8939641109298535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200-000000000000}">
  <sheetPr/>
  <sheetViews>
    <sheetView zoomScale="50" workbookViewId="0" xr3:uid="{842E5F09-E766-5B8D-85AF-A39847EA96FD}"/>
  </sheetViews>
  <pageMargins left="0.75" right="0.75" top="1" bottom="1" header="0.5" footer="0.5"/>
  <headerFooter alignWithMargins="0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300-000000000000}">
  <sheetPr/>
  <sheetViews>
    <sheetView zoomScale="57" workbookViewId="0" xr3:uid="{51F8DEE0-4D01-5F28-A812-FC0BD7CAC4A5}"/>
  </sheetViews>
  <pageMargins left="0.75" right="0.75" top="1" bottom="1" header="0.5" footer="0.5"/>
  <headerFooter alignWithMargins="0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582025" cy="5838825"/>
    <xdr:graphicFrame macro="">
      <xdr:nvGraphicFramePr>
        <xdr:cNvPr id="2" name="shape">
          <a:extLst>
            <a:ext uri="{FF2B5EF4-FFF2-40B4-BE49-F238E27FC236}">
              <a16:creationId xmlns:a16="http://schemas.microsoft.com/office/drawing/2014/main" id="{26401452-0A8C-4215-9421-2B3D4D7C9D6C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0.06925</cdr:x>
      <cdr:y>0.32675</cdr:y>
    </cdr:from>
    <cdr:to>
      <cdr:x>0.94225</cdr:x>
      <cdr:y>0.9065</cdr:y>
    </cdr:to>
    <cdr:sp macro="" textlink="">
      <cdr:nvSpPr>
        <cdr:cNvPr id="2049" name="Line 1">
          <a:extLst xmlns:a="http://schemas.openxmlformats.org/drawingml/2006/main">
            <a:ext uri="{FF2B5EF4-FFF2-40B4-BE49-F238E27FC236}">
              <a16:creationId xmlns:a16="http://schemas.microsoft.com/office/drawing/2014/main" id="{BC15FFF1-3201-44D5-ADCE-5ED4F4649F75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594305" y="1907836"/>
          <a:ext cx="7492108" cy="3385059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582025" cy="5838825"/>
    <xdr:graphicFrame macro="">
      <xdr:nvGraphicFramePr>
        <xdr:cNvPr id="2" name="shape">
          <a:extLst>
            <a:ext uri="{FF2B5EF4-FFF2-40B4-BE49-F238E27FC236}">
              <a16:creationId xmlns:a16="http://schemas.microsoft.com/office/drawing/2014/main" id="{733A0CE7-C00F-43A6-AB3C-0358DBAFC293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0.07</cdr:x>
      <cdr:y>0.648</cdr:y>
    </cdr:from>
    <cdr:to>
      <cdr:x>0.95025</cdr:x>
      <cdr:y>0.64875</cdr:y>
    </cdr:to>
    <cdr:sp macro="" textlink="">
      <cdr:nvSpPr>
        <cdr:cNvPr id="6145" name="Line 1">
          <a:extLst xmlns:a="http://schemas.openxmlformats.org/drawingml/2006/main">
            <a:ext uri="{FF2B5EF4-FFF2-40B4-BE49-F238E27FC236}">
              <a16:creationId xmlns:a16="http://schemas.microsoft.com/office/drawing/2014/main" id="{0C75044D-3722-4FB3-A487-6151CD001E6C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600742" y="3783559"/>
          <a:ext cx="7554327" cy="4379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26"/>
  <sheetViews>
    <sheetView workbookViewId="0" xr3:uid="{AEA406A1-0E4B-5B11-9CD5-51D6E497D94C}">
      <pane xSplit="1" ySplit="7" topLeftCell="B8" activePane="bottomRight" state="frozen"/>
      <selection pane="bottomRight" activeCell="A2" sqref="A2"/>
      <selection pane="bottomLeft" activeCell="A8" sqref="A8"/>
      <selection pane="topRight" activeCell="B1" sqref="B1"/>
    </sheetView>
  </sheetViews>
  <sheetFormatPr defaultRowHeight="12.75"/>
  <cols>
    <col min="1" max="1" width="14.7109375" customWidth="1"/>
    <col min="2" max="31" width="7.7109375" customWidth="1"/>
  </cols>
  <sheetData>
    <row r="1" spans="1:31">
      <c r="B1" s="20" t="s">
        <v>0</v>
      </c>
      <c r="C1" s="20"/>
      <c r="D1" s="20"/>
      <c r="E1" s="20"/>
      <c r="F1" s="20"/>
      <c r="G1" s="20"/>
      <c r="H1" s="20"/>
    </row>
    <row r="3" spans="1:31">
      <c r="A3" s="17" t="s">
        <v>1</v>
      </c>
      <c r="D3" s="16"/>
      <c r="E3" s="16"/>
      <c r="F3" s="16"/>
      <c r="G3" s="16"/>
      <c r="H3" s="16"/>
    </row>
    <row r="4" spans="1:31">
      <c r="H4" s="1" t="s">
        <v>2</v>
      </c>
      <c r="I4" s="19" t="s">
        <v>3</v>
      </c>
      <c r="J4" s="19"/>
      <c r="K4" s="19"/>
      <c r="L4" s="16"/>
      <c r="M4" s="16"/>
      <c r="Q4" s="17" t="s">
        <v>4</v>
      </c>
      <c r="S4" s="17" t="s">
        <v>5</v>
      </c>
    </row>
    <row r="5" spans="1:31">
      <c r="M5" s="17" t="s">
        <v>6</v>
      </c>
      <c r="N5" s="17" t="s">
        <v>7</v>
      </c>
      <c r="O5" s="10" t="s">
        <v>8</v>
      </c>
      <c r="P5" s="17" t="s">
        <v>7</v>
      </c>
      <c r="Q5" s="17" t="s">
        <v>9</v>
      </c>
      <c r="R5" s="9" t="s">
        <v>7</v>
      </c>
      <c r="S5" s="17" t="s">
        <v>10</v>
      </c>
      <c r="T5" s="9" t="s">
        <v>7</v>
      </c>
      <c r="U5" s="9" t="s">
        <v>11</v>
      </c>
      <c r="V5" s="8" t="s">
        <v>12</v>
      </c>
      <c r="X5" t="s">
        <v>13</v>
      </c>
      <c r="Y5" t="s">
        <v>14</v>
      </c>
      <c r="Z5" t="s">
        <v>15</v>
      </c>
      <c r="AA5" t="s">
        <v>16</v>
      </c>
      <c r="AE5" s="11" t="s">
        <v>17</v>
      </c>
    </row>
    <row r="6" spans="1:31" s="7" customFormat="1">
      <c r="A6" s="17" t="s">
        <v>18</v>
      </c>
      <c r="B6" s="17" t="s">
        <v>19</v>
      </c>
      <c r="C6" s="17" t="s">
        <v>20</v>
      </c>
      <c r="D6" s="17" t="s">
        <v>21</v>
      </c>
      <c r="E6" s="17" t="s">
        <v>22</v>
      </c>
      <c r="F6" s="17" t="s">
        <v>23</v>
      </c>
      <c r="G6" s="17" t="s">
        <v>24</v>
      </c>
      <c r="H6" s="17" t="s">
        <v>25</v>
      </c>
      <c r="I6" s="17" t="s">
        <v>26</v>
      </c>
      <c r="J6" s="17" t="s">
        <v>27</v>
      </c>
      <c r="K6" s="17" t="s">
        <v>28</v>
      </c>
      <c r="L6" s="17" t="s">
        <v>29</v>
      </c>
      <c r="M6" s="17" t="s">
        <v>30</v>
      </c>
      <c r="N6" s="17" t="s">
        <v>31</v>
      </c>
      <c r="O6" s="17" t="s">
        <v>32</v>
      </c>
      <c r="P6" s="8" t="s">
        <v>33</v>
      </c>
      <c r="Q6" s="17" t="s">
        <v>34</v>
      </c>
      <c r="R6" s="17" t="s">
        <v>34</v>
      </c>
      <c r="S6" s="17" t="s">
        <v>34</v>
      </c>
      <c r="T6" s="17" t="s">
        <v>34</v>
      </c>
      <c r="U6" s="17" t="s">
        <v>34</v>
      </c>
      <c r="V6" s="9" t="s">
        <v>35</v>
      </c>
      <c r="W6" s="17"/>
      <c r="X6" s="17" t="s">
        <v>36</v>
      </c>
      <c r="Y6" s="17" t="s">
        <v>37</v>
      </c>
      <c r="Z6" s="17" t="s">
        <v>38</v>
      </c>
      <c r="AA6" s="17" t="s">
        <v>39</v>
      </c>
      <c r="AB6" s="17" t="s">
        <v>40</v>
      </c>
      <c r="AC6" s="17" t="s">
        <v>41</v>
      </c>
      <c r="AD6" s="17" t="s">
        <v>42</v>
      </c>
      <c r="AE6" s="17" t="s">
        <v>43</v>
      </c>
    </row>
    <row r="7" spans="1:31" s="7" customFormat="1">
      <c r="A7" s="6"/>
      <c r="B7" s="17" t="s">
        <v>44</v>
      </c>
      <c r="C7" s="17" t="s">
        <v>44</v>
      </c>
      <c r="D7" s="17" t="s">
        <v>44</v>
      </c>
      <c r="E7" s="17" t="s">
        <v>45</v>
      </c>
      <c r="F7" s="17" t="s">
        <v>46</v>
      </c>
      <c r="G7" s="17" t="s">
        <v>45</v>
      </c>
      <c r="H7" s="17" t="s">
        <v>46</v>
      </c>
      <c r="I7" s="17" t="s">
        <v>44</v>
      </c>
      <c r="J7" s="17"/>
      <c r="K7" s="17" t="s">
        <v>47</v>
      </c>
      <c r="L7" s="17"/>
      <c r="M7" s="17" t="s">
        <v>48</v>
      </c>
      <c r="N7" s="17" t="s">
        <v>49</v>
      </c>
      <c r="O7" s="17" t="s">
        <v>49</v>
      </c>
      <c r="P7" s="17" t="s">
        <v>44</v>
      </c>
      <c r="Q7" s="17" t="s">
        <v>49</v>
      </c>
      <c r="R7" s="17" t="s">
        <v>4</v>
      </c>
      <c r="S7" s="17" t="s">
        <v>49</v>
      </c>
      <c r="T7" s="17" t="s">
        <v>5</v>
      </c>
      <c r="U7" s="17"/>
      <c r="V7" s="17" t="s">
        <v>50</v>
      </c>
      <c r="W7" s="17"/>
      <c r="X7" s="17" t="s">
        <v>44</v>
      </c>
      <c r="Y7" s="17" t="s">
        <v>44</v>
      </c>
      <c r="Z7" s="17" t="s">
        <v>51</v>
      </c>
      <c r="AA7" s="17" t="s">
        <v>51</v>
      </c>
      <c r="AB7" s="17" t="s">
        <v>52</v>
      </c>
      <c r="AC7" s="17" t="s">
        <v>49</v>
      </c>
      <c r="AD7" s="17"/>
      <c r="AE7" s="17"/>
    </row>
    <row r="8" spans="1:31">
      <c r="A8" s="17" t="s">
        <v>53</v>
      </c>
      <c r="B8" s="17">
        <v>2003</v>
      </c>
      <c r="C8" s="15" t="s">
        <v>54</v>
      </c>
      <c r="D8" s="18" t="s">
        <v>55</v>
      </c>
      <c r="E8" s="18"/>
      <c r="F8" s="18"/>
      <c r="G8" s="18"/>
      <c r="H8" s="18"/>
    </row>
    <row r="9" spans="1:31">
      <c r="A9" s="1" t="s">
        <v>56</v>
      </c>
      <c r="B9">
        <v>60</v>
      </c>
      <c r="C9">
        <v>100</v>
      </c>
      <c r="D9" s="2">
        <v>2.93</v>
      </c>
      <c r="E9">
        <v>293.5</v>
      </c>
      <c r="F9">
        <v>202</v>
      </c>
      <c r="G9">
        <v>59</v>
      </c>
      <c r="H9" s="3">
        <f>22*((G9+8)/10)^0.3</f>
        <v>38.926478927313745</v>
      </c>
      <c r="I9">
        <v>600</v>
      </c>
      <c r="J9" s="2">
        <f>I9/B9</f>
        <v>10</v>
      </c>
      <c r="K9" s="4">
        <f>SQRT(Q9/AC9)</f>
        <v>0.38231591047447744</v>
      </c>
      <c r="L9" s="3">
        <f>C9/D9</f>
        <v>34.129692832764505</v>
      </c>
      <c r="M9" s="2">
        <f>L9/(52*SQRT(235/E9))</f>
        <v>0.73349837774829263</v>
      </c>
      <c r="N9">
        <v>490</v>
      </c>
      <c r="O9">
        <v>0</v>
      </c>
      <c r="Q9" s="5">
        <f>(E9*AA9+G9*Z9)/1000</f>
        <v>565.81456380000009</v>
      </c>
      <c r="R9" s="2">
        <f>N9/Q9</f>
        <v>0.86600810822041963</v>
      </c>
      <c r="S9" s="5">
        <f>AE9*Q9</f>
        <v>541.70039483039864</v>
      </c>
      <c r="T9" s="2">
        <f>N9/S9</f>
        <v>0.90455906009338327</v>
      </c>
      <c r="U9" s="2">
        <f>O9/S9</f>
        <v>0</v>
      </c>
      <c r="V9" s="2">
        <f>E9*AA9/(1000*Q9)</f>
        <v>0.46854030341592279</v>
      </c>
      <c r="X9">
        <f>B9-2*D9</f>
        <v>54.14</v>
      </c>
      <c r="Y9">
        <f>C9-2*D9</f>
        <v>94.14</v>
      </c>
      <c r="Z9" s="5">
        <f>X9*Y9</f>
        <v>5096.7395999999999</v>
      </c>
      <c r="AA9" s="5">
        <f>B9*C9-Z9</f>
        <v>903.26040000000012</v>
      </c>
      <c r="AB9" s="12">
        <f>((C9*B9^3-Y9*X9^3)*F9+(Y9*X9^3)*H9*0.6)/12</f>
        <v>141199166.52475834</v>
      </c>
      <c r="AC9" s="5">
        <f>(PI()^2*AB9)/(I9*I9)</f>
        <v>3871.0553204525113</v>
      </c>
      <c r="AD9">
        <f>0.5*(1+0.21*(K9-0.2)+K9*K9)</f>
        <v>0.59222589830078454</v>
      </c>
      <c r="AE9">
        <f>IF((1/(AD9+SQRT(AD9*AD9-K9*K9)))&gt;1,1,1/(AD9+SQRT(AD9*AD9-K9*K9)))</f>
        <v>0.95738149826393448</v>
      </c>
    </row>
    <row r="10" spans="1:31">
      <c r="A10" s="1" t="s">
        <v>57</v>
      </c>
      <c r="B10">
        <v>60</v>
      </c>
      <c r="C10">
        <v>100</v>
      </c>
      <c r="D10" s="2">
        <v>2.93</v>
      </c>
      <c r="E10">
        <v>293.5</v>
      </c>
      <c r="F10">
        <v>202</v>
      </c>
      <c r="G10">
        <v>59</v>
      </c>
      <c r="H10" s="3">
        <f t="shared" ref="H10:H16" si="0">22*((G10+8)/10)^0.3</f>
        <v>38.926478927313745</v>
      </c>
      <c r="I10">
        <v>600</v>
      </c>
      <c r="J10" s="2">
        <f t="shared" ref="J10:J16" si="1">I10/B10</f>
        <v>10</v>
      </c>
      <c r="K10" s="4">
        <f t="shared" ref="K10:K16" si="2">SQRT(Q10/AC10)</f>
        <v>0.38231591047447744</v>
      </c>
      <c r="L10" s="3">
        <f t="shared" ref="L10:L24" si="3">C10/D10</f>
        <v>34.129692832764505</v>
      </c>
      <c r="M10" s="2">
        <f t="shared" ref="M10:M24" si="4">L10/(52*SQRT(235/E10))</f>
        <v>0.73349837774829263</v>
      </c>
      <c r="N10">
        <v>585</v>
      </c>
      <c r="O10">
        <v>304</v>
      </c>
      <c r="Q10" s="5">
        <f t="shared" ref="Q10:Q16" si="5">(E10*AA10+G10*Z10)/1000</f>
        <v>565.81456380000009</v>
      </c>
      <c r="R10" s="2">
        <f t="shared" ref="R10:R16" si="6">N10/Q10</f>
        <v>1.0339076394060112</v>
      </c>
      <c r="S10" s="5">
        <f t="shared" ref="S10:S16" si="7">AE10*Q10</f>
        <v>541.70039483039864</v>
      </c>
      <c r="T10" s="2">
        <f t="shared" ref="T10:T16" si="8">N10/S10</f>
        <v>1.0799327554176106</v>
      </c>
      <c r="U10" s="2">
        <f t="shared" ref="U10:U16" si="9">O10/S10</f>
        <v>0.56119582503752763</v>
      </c>
      <c r="V10" s="2">
        <f t="shared" ref="V10:V24" si="10">E10*AA10/(1000*Q10)</f>
        <v>0.46854030341592279</v>
      </c>
      <c r="X10">
        <f t="shared" ref="X10:X16" si="11">B10-2*D10</f>
        <v>54.14</v>
      </c>
      <c r="Y10">
        <f t="shared" ref="Y10:Y16" si="12">C10-2*D10</f>
        <v>94.14</v>
      </c>
      <c r="Z10" s="5">
        <f t="shared" ref="Z10:Z16" si="13">X10*Y10</f>
        <v>5096.7395999999999</v>
      </c>
      <c r="AA10" s="5">
        <f t="shared" ref="AA10:AA16" si="14">B10*C10-Z10</f>
        <v>903.26040000000012</v>
      </c>
      <c r="AB10" s="12">
        <f t="shared" ref="AB10:AB16" si="15">((C10*B10^3-Y10*X10^3)*F10+(Y10*X10^3)*H10*0.6)/12</f>
        <v>141199166.52475834</v>
      </c>
      <c r="AC10" s="5">
        <f t="shared" ref="AC10:AC16" si="16">(PI()^2*AB10)/(I10*I10)</f>
        <v>3871.0553204525113</v>
      </c>
      <c r="AD10">
        <f t="shared" ref="AD10:AD16" si="17">0.5*(1+0.21*(K10-0.2)+K10*K10)</f>
        <v>0.59222589830078454</v>
      </c>
      <c r="AE10">
        <f t="shared" ref="AE10:AE16" si="18">IF((1/(AD10+SQRT(AD10*AD10-K10*K10)))&gt;1,1,1/(AD10+SQRT(AD10*AD10-K10*K10)))</f>
        <v>0.95738149826393448</v>
      </c>
    </row>
    <row r="11" spans="1:31">
      <c r="A11" s="1" t="s">
        <v>58</v>
      </c>
      <c r="B11" s="13">
        <v>80</v>
      </c>
      <c r="C11">
        <v>100</v>
      </c>
      <c r="D11" s="2">
        <v>2.93</v>
      </c>
      <c r="E11">
        <v>293.5</v>
      </c>
      <c r="F11">
        <v>202</v>
      </c>
      <c r="G11">
        <v>59</v>
      </c>
      <c r="H11" s="3">
        <f t="shared" si="0"/>
        <v>38.926478927313745</v>
      </c>
      <c r="I11">
        <v>600</v>
      </c>
      <c r="J11" s="2">
        <f t="shared" si="1"/>
        <v>7.5</v>
      </c>
      <c r="K11" s="4">
        <f t="shared" si="2"/>
        <v>0.29873190364812907</v>
      </c>
      <c r="L11" s="3">
        <f t="shared" si="3"/>
        <v>34.129692832764505</v>
      </c>
      <c r="M11" s="2">
        <f t="shared" si="4"/>
        <v>0.73349837774829263</v>
      </c>
      <c r="N11">
        <v>680</v>
      </c>
      <c r="O11">
        <v>0</v>
      </c>
      <c r="Q11" s="5">
        <f t="shared" si="5"/>
        <v>711.29796380000005</v>
      </c>
      <c r="R11" s="2">
        <f t="shared" si="6"/>
        <v>0.95599880023162798</v>
      </c>
      <c r="S11" s="5">
        <f t="shared" si="7"/>
        <v>695.49910812782298</v>
      </c>
      <c r="T11" s="2">
        <f t="shared" si="8"/>
        <v>0.97771512867997168</v>
      </c>
      <c r="U11" s="2">
        <f t="shared" si="9"/>
        <v>0</v>
      </c>
      <c r="V11" s="2">
        <f t="shared" si="10"/>
        <v>0.42106844479061895</v>
      </c>
      <c r="X11">
        <f t="shared" si="11"/>
        <v>74.14</v>
      </c>
      <c r="Y11">
        <f t="shared" si="12"/>
        <v>94.14</v>
      </c>
      <c r="Z11" s="5">
        <f t="shared" si="13"/>
        <v>6979.5396000000001</v>
      </c>
      <c r="AA11" s="5">
        <f t="shared" si="14"/>
        <v>1020.4603999999999</v>
      </c>
      <c r="AB11" s="12">
        <f t="shared" si="15"/>
        <v>290730843.3251636</v>
      </c>
      <c r="AC11" s="5">
        <f t="shared" si="16"/>
        <v>7970.5511411512653</v>
      </c>
      <c r="AD11">
        <f t="shared" si="17"/>
        <v>0.55498722501167108</v>
      </c>
      <c r="AE11">
        <f t="shared" si="18"/>
        <v>0.97778869548877356</v>
      </c>
    </row>
    <row r="12" spans="1:31">
      <c r="A12" s="1" t="s">
        <v>59</v>
      </c>
      <c r="B12">
        <v>80</v>
      </c>
      <c r="C12">
        <v>100</v>
      </c>
      <c r="D12" s="2">
        <v>2.93</v>
      </c>
      <c r="E12">
        <v>293.5</v>
      </c>
      <c r="F12">
        <v>202</v>
      </c>
      <c r="G12">
        <v>59</v>
      </c>
      <c r="H12" s="3">
        <f t="shared" si="0"/>
        <v>38.926478927313745</v>
      </c>
      <c r="I12">
        <v>600</v>
      </c>
      <c r="J12" s="2">
        <f t="shared" si="1"/>
        <v>7.5</v>
      </c>
      <c r="K12" s="4">
        <f t="shared" si="2"/>
        <v>0.29873190364812907</v>
      </c>
      <c r="L12" s="3">
        <f t="shared" si="3"/>
        <v>34.129692832764505</v>
      </c>
      <c r="M12" s="2">
        <f t="shared" si="4"/>
        <v>0.73349837774829263</v>
      </c>
      <c r="N12">
        <v>748</v>
      </c>
      <c r="O12">
        <v>382</v>
      </c>
      <c r="Q12" s="5">
        <f t="shared" si="5"/>
        <v>711.29796380000005</v>
      </c>
      <c r="R12" s="2">
        <f t="shared" si="6"/>
        <v>1.0515986802547908</v>
      </c>
      <c r="S12" s="5">
        <f t="shared" si="7"/>
        <v>695.49910812782298</v>
      </c>
      <c r="T12" s="2">
        <f t="shared" si="8"/>
        <v>1.0754866415479689</v>
      </c>
      <c r="U12" s="2">
        <f t="shared" si="9"/>
        <v>0.54924585169963114</v>
      </c>
      <c r="V12" s="2">
        <f t="shared" si="10"/>
        <v>0.42106844479061895</v>
      </c>
      <c r="X12">
        <f t="shared" si="11"/>
        <v>74.14</v>
      </c>
      <c r="Y12">
        <f t="shared" si="12"/>
        <v>94.14</v>
      </c>
      <c r="Z12" s="5">
        <f t="shared" si="13"/>
        <v>6979.5396000000001</v>
      </c>
      <c r="AA12" s="5">
        <f t="shared" si="14"/>
        <v>1020.4603999999999</v>
      </c>
      <c r="AB12" s="12">
        <f t="shared" si="15"/>
        <v>290730843.3251636</v>
      </c>
      <c r="AC12" s="5">
        <f t="shared" si="16"/>
        <v>7970.5511411512653</v>
      </c>
      <c r="AD12">
        <f t="shared" si="17"/>
        <v>0.55498722501167108</v>
      </c>
      <c r="AE12">
        <f t="shared" si="18"/>
        <v>0.97778869548877356</v>
      </c>
    </row>
    <row r="13" spans="1:31">
      <c r="A13" s="1" t="s">
        <v>60</v>
      </c>
      <c r="B13">
        <v>60</v>
      </c>
      <c r="C13">
        <v>120</v>
      </c>
      <c r="D13" s="2">
        <v>2.93</v>
      </c>
      <c r="E13">
        <v>293.5</v>
      </c>
      <c r="F13">
        <v>202</v>
      </c>
      <c r="G13">
        <v>59</v>
      </c>
      <c r="H13" s="3">
        <f t="shared" si="0"/>
        <v>38.926478927313745</v>
      </c>
      <c r="I13">
        <v>600</v>
      </c>
      <c r="J13" s="2">
        <f t="shared" si="1"/>
        <v>10</v>
      </c>
      <c r="K13" s="4">
        <f t="shared" si="2"/>
        <v>0.3812312203869283</v>
      </c>
      <c r="L13" s="3">
        <f t="shared" si="3"/>
        <v>40.955631399317404</v>
      </c>
      <c r="M13" s="2">
        <f t="shared" si="4"/>
        <v>0.88019805329795109</v>
      </c>
      <c r="N13">
        <v>570</v>
      </c>
      <c r="O13">
        <v>0</v>
      </c>
      <c r="Q13" s="5">
        <f t="shared" si="5"/>
        <v>664.0979638</v>
      </c>
      <c r="R13" s="2">
        <f t="shared" si="6"/>
        <v>0.85830710387731501</v>
      </c>
      <c r="S13" s="5">
        <f t="shared" si="7"/>
        <v>635.97991412493775</v>
      </c>
      <c r="T13" s="2">
        <f t="shared" si="8"/>
        <v>0.89625472022065145</v>
      </c>
      <c r="U13" s="2">
        <f t="shared" si="9"/>
        <v>0</v>
      </c>
      <c r="V13" s="2">
        <f t="shared" si="10"/>
        <v>0.45099540086859696</v>
      </c>
      <c r="X13">
        <f t="shared" si="11"/>
        <v>54.14</v>
      </c>
      <c r="Y13">
        <f t="shared" si="12"/>
        <v>114.14</v>
      </c>
      <c r="Z13" s="5">
        <f t="shared" si="13"/>
        <v>6179.5396000000001</v>
      </c>
      <c r="AA13" s="5">
        <f t="shared" si="14"/>
        <v>1020.4603999999999</v>
      </c>
      <c r="AB13" s="12">
        <f t="shared" si="15"/>
        <v>166670211.03819755</v>
      </c>
      <c r="AC13" s="5">
        <f t="shared" si="16"/>
        <v>4569.3584677585741</v>
      </c>
      <c r="AD13">
        <f t="shared" si="17"/>
        <v>0.59169789983948085</v>
      </c>
      <c r="AE13">
        <f t="shared" si="18"/>
        <v>0.95765978634512072</v>
      </c>
    </row>
    <row r="14" spans="1:31">
      <c r="A14" s="1" t="s">
        <v>61</v>
      </c>
      <c r="B14">
        <v>60</v>
      </c>
      <c r="C14">
        <v>120</v>
      </c>
      <c r="D14" s="2">
        <v>2.93</v>
      </c>
      <c r="E14">
        <v>293.5</v>
      </c>
      <c r="F14">
        <v>202</v>
      </c>
      <c r="G14">
        <v>59</v>
      </c>
      <c r="H14" s="3">
        <f t="shared" si="0"/>
        <v>38.926478927313745</v>
      </c>
      <c r="I14">
        <v>600</v>
      </c>
      <c r="J14" s="2">
        <f t="shared" si="1"/>
        <v>10</v>
      </c>
      <c r="K14" s="4">
        <f t="shared" si="2"/>
        <v>0.3812312203869283</v>
      </c>
      <c r="L14" s="3">
        <f t="shared" si="3"/>
        <v>40.955631399317404</v>
      </c>
      <c r="M14" s="2">
        <f t="shared" si="4"/>
        <v>0.88019805329795109</v>
      </c>
      <c r="N14">
        <v>690</v>
      </c>
      <c r="O14">
        <v>338</v>
      </c>
      <c r="Q14" s="5">
        <f t="shared" si="5"/>
        <v>664.0979638</v>
      </c>
      <c r="R14" s="2">
        <f t="shared" si="6"/>
        <v>1.0390033362725393</v>
      </c>
      <c r="S14" s="5">
        <f t="shared" si="7"/>
        <v>635.97991412493775</v>
      </c>
      <c r="T14" s="2">
        <f t="shared" si="8"/>
        <v>1.0849399244776308</v>
      </c>
      <c r="U14" s="2">
        <f t="shared" si="9"/>
        <v>0.5314633253238249</v>
      </c>
      <c r="V14" s="2">
        <f t="shared" si="10"/>
        <v>0.45099540086859696</v>
      </c>
      <c r="X14">
        <f t="shared" si="11"/>
        <v>54.14</v>
      </c>
      <c r="Y14">
        <f t="shared" si="12"/>
        <v>114.14</v>
      </c>
      <c r="Z14" s="5">
        <f t="shared" si="13"/>
        <v>6179.5396000000001</v>
      </c>
      <c r="AA14" s="5">
        <f t="shared" si="14"/>
        <v>1020.4603999999999</v>
      </c>
      <c r="AB14" s="12">
        <f t="shared" si="15"/>
        <v>166670211.03819755</v>
      </c>
      <c r="AC14" s="5">
        <f t="shared" si="16"/>
        <v>4569.3584677585741</v>
      </c>
      <c r="AD14">
        <f t="shared" si="17"/>
        <v>0.59169789983948085</v>
      </c>
      <c r="AE14">
        <f t="shared" si="18"/>
        <v>0.95765978634512072</v>
      </c>
    </row>
    <row r="15" spans="1:31">
      <c r="A15" s="1" t="s">
        <v>62</v>
      </c>
      <c r="B15">
        <v>90</v>
      </c>
      <c r="C15">
        <v>120</v>
      </c>
      <c r="D15" s="2">
        <v>2.93</v>
      </c>
      <c r="E15">
        <v>293.5</v>
      </c>
      <c r="F15">
        <v>202</v>
      </c>
      <c r="G15">
        <v>59</v>
      </c>
      <c r="H15" s="3">
        <f t="shared" si="0"/>
        <v>38.926478927313745</v>
      </c>
      <c r="I15">
        <v>600</v>
      </c>
      <c r="J15" s="2">
        <f t="shared" si="1"/>
        <v>6.666666666666667</v>
      </c>
      <c r="K15" s="4">
        <f t="shared" si="2"/>
        <v>0.26963990108860414</v>
      </c>
      <c r="L15" s="3">
        <f t="shared" si="3"/>
        <v>40.955631399317404</v>
      </c>
      <c r="M15" s="2">
        <f t="shared" si="4"/>
        <v>0.88019805329795109</v>
      </c>
      <c r="N15">
        <v>825</v>
      </c>
      <c r="O15">
        <v>0</v>
      </c>
      <c r="Q15" s="5">
        <f t="shared" si="5"/>
        <v>917.72306379999986</v>
      </c>
      <c r="R15" s="2">
        <f t="shared" si="6"/>
        <v>0.89896400400349197</v>
      </c>
      <c r="S15" s="5">
        <f t="shared" si="7"/>
        <v>903.49138542788489</v>
      </c>
      <c r="T15" s="2">
        <f t="shared" si="8"/>
        <v>0.91312436765436111</v>
      </c>
      <c r="U15" s="2">
        <f t="shared" si="9"/>
        <v>0</v>
      </c>
      <c r="V15" s="2">
        <f t="shared" si="10"/>
        <v>0.38257993206163532</v>
      </c>
      <c r="X15">
        <f t="shared" si="11"/>
        <v>84.14</v>
      </c>
      <c r="Y15">
        <f t="shared" si="12"/>
        <v>114.14</v>
      </c>
      <c r="Z15" s="5">
        <f t="shared" si="13"/>
        <v>9603.7396000000008</v>
      </c>
      <c r="AA15" s="5">
        <f t="shared" si="14"/>
        <v>1196.2603999999992</v>
      </c>
      <c r="AB15" s="12">
        <f t="shared" si="15"/>
        <v>460411415.87834358</v>
      </c>
      <c r="AC15" s="5">
        <f t="shared" si="16"/>
        <v>12622.440379068563</v>
      </c>
      <c r="AD15">
        <f t="shared" si="17"/>
        <v>0.54366502774383962</v>
      </c>
      <c r="AE15">
        <f t="shared" si="18"/>
        <v>0.98449240415383465</v>
      </c>
    </row>
    <row r="16" spans="1:31">
      <c r="A16" s="1" t="s">
        <v>63</v>
      </c>
      <c r="B16">
        <v>90</v>
      </c>
      <c r="C16">
        <v>120</v>
      </c>
      <c r="D16" s="2">
        <v>2.93</v>
      </c>
      <c r="E16">
        <v>293.5</v>
      </c>
      <c r="F16">
        <v>202</v>
      </c>
      <c r="G16">
        <v>59</v>
      </c>
      <c r="H16" s="3">
        <f t="shared" si="0"/>
        <v>38.926478927313745</v>
      </c>
      <c r="I16">
        <v>600</v>
      </c>
      <c r="J16" s="2">
        <f t="shared" si="1"/>
        <v>6.666666666666667</v>
      </c>
      <c r="K16" s="4">
        <f t="shared" si="2"/>
        <v>0.26963990108860414</v>
      </c>
      <c r="L16" s="3">
        <f t="shared" si="3"/>
        <v>40.955631399317404</v>
      </c>
      <c r="M16" s="2">
        <f t="shared" si="4"/>
        <v>0.88019805329795109</v>
      </c>
      <c r="N16">
        <v>885</v>
      </c>
      <c r="O16">
        <v>424</v>
      </c>
      <c r="Q16" s="5">
        <f t="shared" si="5"/>
        <v>917.72306379999986</v>
      </c>
      <c r="R16" s="2">
        <f t="shared" si="6"/>
        <v>0.96434320429465503</v>
      </c>
      <c r="S16" s="5">
        <f t="shared" si="7"/>
        <v>903.49138542788489</v>
      </c>
      <c r="T16" s="2">
        <f t="shared" si="8"/>
        <v>0.97953341257467819</v>
      </c>
      <c r="U16" s="2">
        <f t="shared" si="9"/>
        <v>0.46929058410357466</v>
      </c>
      <c r="V16" s="2">
        <f t="shared" si="10"/>
        <v>0.38257993206163532</v>
      </c>
      <c r="X16">
        <f t="shared" si="11"/>
        <v>84.14</v>
      </c>
      <c r="Y16">
        <f t="shared" si="12"/>
        <v>114.14</v>
      </c>
      <c r="Z16" s="5">
        <f t="shared" si="13"/>
        <v>9603.7396000000008</v>
      </c>
      <c r="AA16" s="5">
        <f t="shared" si="14"/>
        <v>1196.2603999999992</v>
      </c>
      <c r="AB16" s="12">
        <f t="shared" si="15"/>
        <v>460411415.87834358</v>
      </c>
      <c r="AC16" s="5">
        <f t="shared" si="16"/>
        <v>12622.440379068563</v>
      </c>
      <c r="AD16">
        <f t="shared" si="17"/>
        <v>0.54366502774383962</v>
      </c>
      <c r="AE16">
        <f t="shared" si="18"/>
        <v>0.98449240415383465</v>
      </c>
    </row>
    <row r="17" spans="1:31">
      <c r="J17" s="2"/>
      <c r="K17" s="4"/>
      <c r="L17" s="3"/>
      <c r="M17" s="2"/>
      <c r="Q17" s="5"/>
      <c r="R17" s="2"/>
      <c r="S17" s="5"/>
      <c r="T17" s="2"/>
      <c r="U17" s="2"/>
      <c r="V17" s="2"/>
      <c r="Z17" s="5"/>
      <c r="AA17" s="5"/>
      <c r="AB17" s="12"/>
      <c r="AC17" s="5"/>
    </row>
    <row r="18" spans="1:31">
      <c r="A18" s="17" t="s">
        <v>64</v>
      </c>
      <c r="B18" s="17">
        <v>2004</v>
      </c>
      <c r="C18" s="15" t="s">
        <v>65</v>
      </c>
      <c r="D18" s="18" t="s">
        <v>66</v>
      </c>
      <c r="E18" s="18"/>
      <c r="F18" s="18"/>
      <c r="G18" s="18"/>
      <c r="H18" s="18"/>
      <c r="J18" s="2"/>
      <c r="K18" s="4"/>
      <c r="L18" s="3"/>
      <c r="M18" s="2"/>
      <c r="Q18" s="5"/>
      <c r="R18" s="2"/>
      <c r="S18" s="5"/>
      <c r="T18" s="2"/>
      <c r="U18" s="2"/>
      <c r="V18" s="2"/>
      <c r="Z18" s="5"/>
      <c r="AA18" s="5"/>
      <c r="AB18" s="12"/>
      <c r="AC18" s="5"/>
    </row>
    <row r="19" spans="1:31">
      <c r="A19" s="1" t="s">
        <v>67</v>
      </c>
      <c r="B19">
        <v>100</v>
      </c>
      <c r="C19">
        <v>100</v>
      </c>
      <c r="D19" s="2">
        <v>2.93</v>
      </c>
      <c r="E19">
        <v>293.5</v>
      </c>
      <c r="F19">
        <v>202</v>
      </c>
      <c r="G19">
        <v>27.44</v>
      </c>
      <c r="H19">
        <v>29.2</v>
      </c>
      <c r="I19">
        <v>600</v>
      </c>
      <c r="J19" s="2">
        <f t="shared" ref="J19:J24" si="19">I19/B19</f>
        <v>6</v>
      </c>
      <c r="K19" s="4">
        <f t="shared" ref="K19:K24" si="20">SQRT(Q19/AC19)</f>
        <v>0.21031288011712884</v>
      </c>
      <c r="L19" s="3">
        <f t="shared" si="3"/>
        <v>34.129692832764505</v>
      </c>
      <c r="M19" s="2">
        <f t="shared" si="4"/>
        <v>0.73349837774829263</v>
      </c>
      <c r="N19">
        <v>802</v>
      </c>
      <c r="O19">
        <v>0</v>
      </c>
      <c r="Q19" s="5">
        <f t="shared" ref="Q19:Q24" si="21">(E19*AA19+G19*Z19)/1000</f>
        <v>577.08592602400017</v>
      </c>
      <c r="R19" s="2">
        <f t="shared" ref="R19:R24" si="22">N19/Q19</f>
        <v>1.3897410486608297</v>
      </c>
      <c r="S19" s="5">
        <f t="shared" ref="S19:S24" si="23">AE19*Q19</f>
        <v>575.78138199753198</v>
      </c>
      <c r="T19" s="2">
        <f t="shared" ref="T19:T24" si="24">N19/S19</f>
        <v>1.3928897756604393</v>
      </c>
      <c r="U19" s="2">
        <f t="shared" ref="U19:U24" si="25">O19/S19</f>
        <v>0</v>
      </c>
      <c r="V19" s="2">
        <f t="shared" si="10"/>
        <v>0.57860244435438479</v>
      </c>
      <c r="X19">
        <f t="shared" ref="X19:X24" si="26">B19-2*D19</f>
        <v>94.14</v>
      </c>
      <c r="Y19">
        <f t="shared" ref="Y19:Y24" si="27">C19-2*D19</f>
        <v>94.14</v>
      </c>
      <c r="Z19" s="5">
        <f t="shared" ref="Z19:Z24" si="28">X19*Y19</f>
        <v>8862.3395999999993</v>
      </c>
      <c r="AA19" s="5">
        <f t="shared" ref="AA19:AA24" si="29">B19*C19-Z19</f>
        <v>1137.6604000000007</v>
      </c>
      <c r="AB19" s="12">
        <f t="shared" ref="AB19:AB24" si="30">((C19*B19^3-Y19*X19^3)*F19+(Y19*X19^3)*H19*0.6)/12</f>
        <v>475895388.62473899</v>
      </c>
      <c r="AC19" s="5">
        <f t="shared" ref="AC19:AC24" si="31">(PI()^2*AB19)/(I19*I19)</f>
        <v>13046.942283413484</v>
      </c>
      <c r="AD19">
        <f t="shared" ref="AD19:AD24" si="32">0.5*(1+0.21*(K19-0.2)+K19*K19)</f>
        <v>0.52319860618387948</v>
      </c>
      <c r="AE19">
        <f t="shared" ref="AE19:AE24" si="33">IF((1/(AD19+SQRT(AD19*AD19-K19*K19)))&gt;1,1,1/(AD19+SQRT(AD19*AD19-K19*K19)))</f>
        <v>0.99773942844966568</v>
      </c>
    </row>
    <row r="20" spans="1:31">
      <c r="A20" s="1" t="s">
        <v>68</v>
      </c>
      <c r="B20">
        <v>100</v>
      </c>
      <c r="C20">
        <v>100</v>
      </c>
      <c r="D20" s="2">
        <v>2.93</v>
      </c>
      <c r="E20">
        <v>293.5</v>
      </c>
      <c r="F20">
        <v>202</v>
      </c>
      <c r="G20">
        <v>27.44</v>
      </c>
      <c r="H20">
        <v>29.2</v>
      </c>
      <c r="I20">
        <v>600</v>
      </c>
      <c r="J20" s="2">
        <f t="shared" si="19"/>
        <v>6</v>
      </c>
      <c r="K20" s="4">
        <f t="shared" si="20"/>
        <v>0.21031288011712884</v>
      </c>
      <c r="L20" s="3">
        <f t="shared" si="3"/>
        <v>34.129692832764505</v>
      </c>
      <c r="M20" s="2">
        <f t="shared" si="4"/>
        <v>0.73349837774829263</v>
      </c>
      <c r="N20">
        <v>800</v>
      </c>
      <c r="O20">
        <v>360</v>
      </c>
      <c r="Q20" s="5">
        <f t="shared" si="21"/>
        <v>577.08592602400017</v>
      </c>
      <c r="R20" s="2">
        <f t="shared" si="22"/>
        <v>1.3862753602601792</v>
      </c>
      <c r="S20" s="5">
        <f t="shared" si="23"/>
        <v>575.78138199753198</v>
      </c>
      <c r="T20" s="2">
        <f t="shared" si="24"/>
        <v>1.3894162350727575</v>
      </c>
      <c r="U20" s="2">
        <f t="shared" si="25"/>
        <v>0.62523730578274084</v>
      </c>
      <c r="V20" s="2">
        <f t="shared" si="10"/>
        <v>0.57860244435438479</v>
      </c>
      <c r="X20">
        <f t="shared" si="26"/>
        <v>94.14</v>
      </c>
      <c r="Y20">
        <f t="shared" si="27"/>
        <v>94.14</v>
      </c>
      <c r="Z20" s="5">
        <f t="shared" si="28"/>
        <v>8862.3395999999993</v>
      </c>
      <c r="AA20" s="5">
        <f t="shared" si="29"/>
        <v>1137.6604000000007</v>
      </c>
      <c r="AB20" s="12">
        <f t="shared" si="30"/>
        <v>475895388.62473899</v>
      </c>
      <c r="AC20" s="5">
        <f t="shared" si="31"/>
        <v>13046.942283413484</v>
      </c>
      <c r="AD20">
        <f t="shared" si="32"/>
        <v>0.52319860618387948</v>
      </c>
      <c r="AE20">
        <f t="shared" si="33"/>
        <v>0.99773942844966568</v>
      </c>
    </row>
    <row r="21" spans="1:31">
      <c r="A21" s="1" t="s">
        <v>69</v>
      </c>
      <c r="B21">
        <v>100</v>
      </c>
      <c r="C21">
        <v>100</v>
      </c>
      <c r="D21" s="2">
        <v>2.93</v>
      </c>
      <c r="E21">
        <v>293.5</v>
      </c>
      <c r="F21">
        <v>202</v>
      </c>
      <c r="G21">
        <v>27.44</v>
      </c>
      <c r="H21">
        <v>29.2</v>
      </c>
      <c r="I21">
        <v>600</v>
      </c>
      <c r="J21" s="2">
        <f t="shared" si="19"/>
        <v>6</v>
      </c>
      <c r="K21" s="4">
        <f t="shared" si="20"/>
        <v>0.21031288011712884</v>
      </c>
      <c r="L21" s="3">
        <f t="shared" si="3"/>
        <v>34.129692832764505</v>
      </c>
      <c r="M21" s="2">
        <f t="shared" si="4"/>
        <v>0.73349837774829263</v>
      </c>
      <c r="N21">
        <v>853</v>
      </c>
      <c r="O21">
        <v>360</v>
      </c>
      <c r="Q21" s="5">
        <f t="shared" si="21"/>
        <v>577.08592602400017</v>
      </c>
      <c r="R21" s="2">
        <f t="shared" si="22"/>
        <v>1.4781161028774161</v>
      </c>
      <c r="S21" s="5">
        <f t="shared" si="23"/>
        <v>575.78138199753198</v>
      </c>
      <c r="T21" s="2">
        <f t="shared" si="24"/>
        <v>1.4814650606463275</v>
      </c>
      <c r="U21" s="2">
        <f t="shared" si="25"/>
        <v>0.62523730578274084</v>
      </c>
      <c r="V21" s="2">
        <f t="shared" si="10"/>
        <v>0.57860244435438479</v>
      </c>
      <c r="X21">
        <f t="shared" si="26"/>
        <v>94.14</v>
      </c>
      <c r="Y21">
        <f t="shared" si="27"/>
        <v>94.14</v>
      </c>
      <c r="Z21" s="5">
        <f t="shared" si="28"/>
        <v>8862.3395999999993</v>
      </c>
      <c r="AA21" s="5">
        <f t="shared" si="29"/>
        <v>1137.6604000000007</v>
      </c>
      <c r="AB21" s="12">
        <f t="shared" si="30"/>
        <v>475895388.62473899</v>
      </c>
      <c r="AC21" s="5">
        <f t="shared" si="31"/>
        <v>13046.942283413484</v>
      </c>
      <c r="AD21">
        <f t="shared" si="32"/>
        <v>0.52319860618387948</v>
      </c>
      <c r="AE21">
        <f t="shared" si="33"/>
        <v>0.99773942844966568</v>
      </c>
    </row>
    <row r="22" spans="1:31">
      <c r="A22" s="1" t="s">
        <v>70</v>
      </c>
      <c r="B22">
        <v>120</v>
      </c>
      <c r="C22">
        <v>120</v>
      </c>
      <c r="D22" s="2">
        <v>2.93</v>
      </c>
      <c r="E22">
        <v>293.5</v>
      </c>
      <c r="F22">
        <v>202</v>
      </c>
      <c r="G22">
        <v>27.44</v>
      </c>
      <c r="H22">
        <v>29.2</v>
      </c>
      <c r="I22">
        <v>600</v>
      </c>
      <c r="J22" s="2">
        <f t="shared" si="19"/>
        <v>5</v>
      </c>
      <c r="K22" s="4">
        <f t="shared" si="20"/>
        <v>0.17737921780796784</v>
      </c>
      <c r="L22" s="3">
        <f t="shared" si="3"/>
        <v>40.955631399317404</v>
      </c>
      <c r="M22" s="2">
        <f t="shared" si="4"/>
        <v>0.88019805329795109</v>
      </c>
      <c r="N22">
        <v>1054</v>
      </c>
      <c r="O22">
        <v>0</v>
      </c>
      <c r="Q22" s="5">
        <f t="shared" si="21"/>
        <v>760.18639002400005</v>
      </c>
      <c r="R22" s="2">
        <f t="shared" si="22"/>
        <v>1.3865020655877882</v>
      </c>
      <c r="S22" s="5">
        <f t="shared" si="23"/>
        <v>760.18639002400005</v>
      </c>
      <c r="T22" s="2">
        <f t="shared" si="24"/>
        <v>1.3865020655877882</v>
      </c>
      <c r="U22" s="2">
        <f t="shared" si="25"/>
        <v>0</v>
      </c>
      <c r="V22" s="2">
        <f t="shared" si="10"/>
        <v>0.52973814407185893</v>
      </c>
      <c r="X22">
        <f t="shared" si="26"/>
        <v>114.14</v>
      </c>
      <c r="Y22">
        <f t="shared" si="27"/>
        <v>114.14</v>
      </c>
      <c r="Z22" s="5">
        <f t="shared" si="28"/>
        <v>13027.9396</v>
      </c>
      <c r="AA22" s="5">
        <f t="shared" si="29"/>
        <v>1372.0604000000003</v>
      </c>
      <c r="AB22" s="12">
        <f t="shared" si="30"/>
        <v>881287021.53201163</v>
      </c>
      <c r="AC22" s="5">
        <f t="shared" si="31"/>
        <v>24160.984073153537</v>
      </c>
      <c r="AD22">
        <f t="shared" si="32"/>
        <v>0.51335651132491988</v>
      </c>
      <c r="AE22">
        <f t="shared" si="33"/>
        <v>1</v>
      </c>
    </row>
    <row r="23" spans="1:31">
      <c r="A23" s="1" t="s">
        <v>71</v>
      </c>
      <c r="B23">
        <v>120</v>
      </c>
      <c r="C23">
        <v>120</v>
      </c>
      <c r="D23" s="2">
        <v>2.93</v>
      </c>
      <c r="E23">
        <v>293.5</v>
      </c>
      <c r="F23">
        <v>202</v>
      </c>
      <c r="G23">
        <v>27.44</v>
      </c>
      <c r="H23">
        <v>29.2</v>
      </c>
      <c r="I23">
        <v>600</v>
      </c>
      <c r="J23" s="2">
        <f t="shared" si="19"/>
        <v>5</v>
      </c>
      <c r="K23" s="4">
        <f t="shared" si="20"/>
        <v>0.17737921780796784</v>
      </c>
      <c r="L23" s="3">
        <f t="shared" si="3"/>
        <v>40.955631399317404</v>
      </c>
      <c r="M23" s="2">
        <f t="shared" si="4"/>
        <v>0.88019805329795109</v>
      </c>
      <c r="N23">
        <v>1088</v>
      </c>
      <c r="O23">
        <v>470</v>
      </c>
      <c r="Q23" s="5">
        <f t="shared" si="21"/>
        <v>760.18639002400005</v>
      </c>
      <c r="R23" s="2">
        <f t="shared" si="22"/>
        <v>1.4312279386712652</v>
      </c>
      <c r="S23" s="5">
        <f t="shared" si="23"/>
        <v>760.18639002400005</v>
      </c>
      <c r="T23" s="2">
        <f t="shared" si="24"/>
        <v>1.4312279386712652</v>
      </c>
      <c r="U23" s="2">
        <f t="shared" si="25"/>
        <v>0.6182694220363002</v>
      </c>
      <c r="V23" s="2">
        <f t="shared" si="10"/>
        <v>0.52973814407185893</v>
      </c>
      <c r="X23">
        <f t="shared" si="26"/>
        <v>114.14</v>
      </c>
      <c r="Y23">
        <f t="shared" si="27"/>
        <v>114.14</v>
      </c>
      <c r="Z23" s="5">
        <f t="shared" si="28"/>
        <v>13027.9396</v>
      </c>
      <c r="AA23" s="5">
        <f t="shared" si="29"/>
        <v>1372.0604000000003</v>
      </c>
      <c r="AB23" s="12">
        <f t="shared" si="30"/>
        <v>881287021.53201163</v>
      </c>
      <c r="AC23" s="5">
        <f t="shared" si="31"/>
        <v>24160.984073153537</v>
      </c>
      <c r="AD23">
        <f t="shared" si="32"/>
        <v>0.51335651132491988</v>
      </c>
      <c r="AE23">
        <f t="shared" si="33"/>
        <v>1</v>
      </c>
    </row>
    <row r="24" spans="1:31">
      <c r="A24" s="1" t="s">
        <v>72</v>
      </c>
      <c r="B24">
        <v>120</v>
      </c>
      <c r="C24">
        <v>120</v>
      </c>
      <c r="D24" s="2">
        <v>2.93</v>
      </c>
      <c r="E24">
        <v>293.5</v>
      </c>
      <c r="F24">
        <v>202</v>
      </c>
      <c r="G24">
        <v>27.44</v>
      </c>
      <c r="H24">
        <v>29.2</v>
      </c>
      <c r="I24">
        <v>600</v>
      </c>
      <c r="J24" s="2">
        <f t="shared" si="19"/>
        <v>5</v>
      </c>
      <c r="K24" s="4">
        <f t="shared" si="20"/>
        <v>0.17737921780796784</v>
      </c>
      <c r="L24" s="3">
        <f t="shared" si="3"/>
        <v>40.955631399317404</v>
      </c>
      <c r="M24" s="2">
        <f t="shared" si="4"/>
        <v>0.88019805329795109</v>
      </c>
      <c r="N24">
        <v>1144</v>
      </c>
      <c r="O24">
        <v>470</v>
      </c>
      <c r="Q24" s="5">
        <f t="shared" si="21"/>
        <v>760.18639002400005</v>
      </c>
      <c r="R24" s="2">
        <f t="shared" si="22"/>
        <v>1.5048940825734627</v>
      </c>
      <c r="S24" s="5">
        <f t="shared" si="23"/>
        <v>760.18639002400005</v>
      </c>
      <c r="T24" s="2">
        <f t="shared" si="24"/>
        <v>1.5048940825734627</v>
      </c>
      <c r="U24" s="2">
        <f t="shared" si="25"/>
        <v>0.6182694220363002</v>
      </c>
      <c r="V24" s="2">
        <f t="shared" si="10"/>
        <v>0.52973814407185893</v>
      </c>
      <c r="X24">
        <f t="shared" si="26"/>
        <v>114.14</v>
      </c>
      <c r="Y24">
        <f t="shared" si="27"/>
        <v>114.14</v>
      </c>
      <c r="Z24" s="5">
        <f t="shared" si="28"/>
        <v>13027.9396</v>
      </c>
      <c r="AA24" s="5">
        <f t="shared" si="29"/>
        <v>1372.0604000000003</v>
      </c>
      <c r="AB24" s="12">
        <f t="shared" si="30"/>
        <v>881287021.53201163</v>
      </c>
      <c r="AC24" s="5">
        <f t="shared" si="31"/>
        <v>24160.984073153537</v>
      </c>
      <c r="AD24">
        <f t="shared" si="32"/>
        <v>0.51335651132491988</v>
      </c>
      <c r="AE24">
        <f t="shared" si="33"/>
        <v>1</v>
      </c>
    </row>
    <row r="25" spans="1:31">
      <c r="J25" s="2"/>
      <c r="K25" s="4"/>
      <c r="L25" s="4"/>
      <c r="M25" s="4"/>
      <c r="Q25" s="5"/>
      <c r="R25" s="2"/>
      <c r="S25" s="5"/>
      <c r="T25" s="2"/>
      <c r="U25" s="2"/>
      <c r="V25" s="2"/>
      <c r="Z25" s="5"/>
      <c r="AA25" s="5"/>
      <c r="AB25" s="12"/>
      <c r="AC25" s="5"/>
    </row>
    <row r="26" spans="1:31">
      <c r="J26" s="2"/>
      <c r="K26" s="4"/>
      <c r="L26" s="4" t="s">
        <v>73</v>
      </c>
      <c r="M26" s="5">
        <f>COUNTIF(M9:M24,"&gt;1")</f>
        <v>0</v>
      </c>
      <c r="N26" s="15" t="s">
        <v>74</v>
      </c>
      <c r="Q26" s="5"/>
      <c r="R26" s="2"/>
      <c r="S26" s="5"/>
      <c r="T26" s="2"/>
      <c r="U26" s="2"/>
      <c r="V26" s="2"/>
      <c r="Z26" s="5"/>
      <c r="AA26" s="5"/>
      <c r="AB26" s="12"/>
      <c r="AC26" s="5"/>
    </row>
  </sheetData>
  <mergeCells count="4">
    <mergeCell ref="D8:H8"/>
    <mergeCell ref="D18:H18"/>
    <mergeCell ref="I4:K4"/>
    <mergeCell ref="B1:H1"/>
  </mergeCells>
  <phoneticPr fontId="0" type="noConversion"/>
  <pageMargins left="0.75" right="0.75" top="1" bottom="1" header="0.5" footer="0.5"/>
  <pageSetup paperSize="9" orientation="portrait" horizontalDpi="300" verticalDpi="0" copies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7"/>
  <sheetViews>
    <sheetView tabSelected="1" workbookViewId="0" xr3:uid="{958C4451-9541-5A59-BF78-D2F731DF1C81}">
      <pane xSplit="1" ySplit="8" topLeftCell="B9" activePane="bottomRight" state="frozen"/>
      <selection pane="bottomRight" activeCell="A3" sqref="A3"/>
      <selection pane="bottomLeft" activeCell="A9" sqref="A9"/>
      <selection pane="topRight" activeCell="B1" sqref="B1"/>
    </sheetView>
  </sheetViews>
  <sheetFormatPr defaultRowHeight="12.75"/>
  <cols>
    <col min="1" max="1" width="14.7109375" customWidth="1"/>
    <col min="2" max="7" width="7.7109375" customWidth="1"/>
  </cols>
  <sheetData>
    <row r="1" spans="1:5">
      <c r="A1" s="21" t="s">
        <v>75</v>
      </c>
      <c r="B1" s="21"/>
      <c r="C1" s="21"/>
      <c r="D1" s="21"/>
    </row>
    <row r="2" spans="1:5">
      <c r="A2" s="21" t="s">
        <v>76</v>
      </c>
      <c r="B2" s="21"/>
      <c r="C2" s="21"/>
      <c r="D2" s="21"/>
    </row>
    <row r="4" spans="1:5">
      <c r="A4" s="17" t="s">
        <v>77</v>
      </c>
    </row>
    <row r="6" spans="1:5">
      <c r="A6" s="1"/>
      <c r="B6" s="17" t="s">
        <v>7</v>
      </c>
      <c r="C6" s="17" t="s">
        <v>78</v>
      </c>
      <c r="D6" s="9" t="s">
        <v>7</v>
      </c>
      <c r="E6" s="9" t="s">
        <v>11</v>
      </c>
    </row>
    <row r="7" spans="1:5">
      <c r="A7" s="6" t="s">
        <v>18</v>
      </c>
      <c r="B7" s="17" t="s">
        <v>31</v>
      </c>
      <c r="C7" s="17" t="s">
        <v>34</v>
      </c>
      <c r="D7" s="17" t="s">
        <v>34</v>
      </c>
      <c r="E7" s="17" t="s">
        <v>34</v>
      </c>
    </row>
    <row r="8" spans="1:5">
      <c r="A8" s="6"/>
      <c r="B8" s="17" t="s">
        <v>49</v>
      </c>
      <c r="C8" s="17" t="s">
        <v>49</v>
      </c>
      <c r="D8" s="17" t="s">
        <v>5</v>
      </c>
    </row>
    <row r="9" spans="1:5">
      <c r="A9" s="17" t="str">
        <f>Data!A8</f>
        <v>Han &amp; Yang</v>
      </c>
      <c r="B9" s="17">
        <v>2003</v>
      </c>
      <c r="C9" s="15" t="s">
        <v>54</v>
      </c>
    </row>
    <row r="10" spans="1:5">
      <c r="A10" s="1" t="str">
        <f>Data!A9</f>
        <v>R-1</v>
      </c>
      <c r="B10">
        <f>Data!N9</f>
        <v>490</v>
      </c>
      <c r="C10" s="5">
        <f>Data!S9</f>
        <v>541.70039483039864</v>
      </c>
      <c r="D10" s="2">
        <f>Data!T9</f>
        <v>0.90455906009338327</v>
      </c>
      <c r="E10">
        <f>Data!O9/C10</f>
        <v>0</v>
      </c>
    </row>
    <row r="11" spans="1:5">
      <c r="A11" s="1" t="str">
        <f>Data!A10</f>
        <v>R-2</v>
      </c>
      <c r="B11">
        <f>Data!N10</f>
        <v>585</v>
      </c>
      <c r="C11" s="5">
        <f>Data!S10</f>
        <v>541.70039483039864</v>
      </c>
      <c r="D11" s="2">
        <f>Data!T10</f>
        <v>1.0799327554176106</v>
      </c>
      <c r="E11" s="2">
        <f>Data!O10/C11</f>
        <v>0.56119582503752763</v>
      </c>
    </row>
    <row r="12" spans="1:5">
      <c r="A12" s="1" t="str">
        <f>Data!A11</f>
        <v>R-3</v>
      </c>
      <c r="B12">
        <f>Data!N11</f>
        <v>680</v>
      </c>
      <c r="C12" s="5">
        <f>Data!S11</f>
        <v>695.49910812782298</v>
      </c>
      <c r="D12" s="2">
        <f>Data!T11</f>
        <v>0.97771512867997168</v>
      </c>
      <c r="E12">
        <f>Data!O11/C12</f>
        <v>0</v>
      </c>
    </row>
    <row r="13" spans="1:5">
      <c r="A13" s="1" t="str">
        <f>Data!A12</f>
        <v>R-4</v>
      </c>
      <c r="B13">
        <f>Data!N12</f>
        <v>748</v>
      </c>
      <c r="C13" s="5">
        <f>Data!S12</f>
        <v>695.49910812782298</v>
      </c>
      <c r="D13" s="2">
        <f>Data!T12</f>
        <v>1.0754866415479689</v>
      </c>
      <c r="E13" s="2">
        <f>Data!O12/C13</f>
        <v>0.54924585169963114</v>
      </c>
    </row>
    <row r="14" spans="1:5">
      <c r="A14" s="1" t="str">
        <f>Data!A13</f>
        <v>R-5</v>
      </c>
      <c r="B14">
        <f>Data!N13</f>
        <v>570</v>
      </c>
      <c r="C14" s="5">
        <f>Data!S13</f>
        <v>635.97991412493775</v>
      </c>
      <c r="D14" s="2">
        <f>Data!T13</f>
        <v>0.89625472022065145</v>
      </c>
      <c r="E14">
        <f>Data!O13/C14</f>
        <v>0</v>
      </c>
    </row>
    <row r="15" spans="1:5">
      <c r="A15" s="1" t="str">
        <f>Data!A14</f>
        <v>R-6</v>
      </c>
      <c r="B15">
        <f>Data!N14</f>
        <v>690</v>
      </c>
      <c r="C15" s="5">
        <f>Data!S14</f>
        <v>635.97991412493775</v>
      </c>
      <c r="D15" s="2">
        <f>Data!T14</f>
        <v>1.0849399244776308</v>
      </c>
      <c r="E15" s="2">
        <f>Data!O14/C15</f>
        <v>0.5314633253238249</v>
      </c>
    </row>
    <row r="16" spans="1:5">
      <c r="A16" s="1" t="str">
        <f>Data!A15</f>
        <v>R-7</v>
      </c>
      <c r="B16">
        <f>Data!N15</f>
        <v>825</v>
      </c>
      <c r="C16" s="5">
        <f>Data!S15</f>
        <v>903.49138542788489</v>
      </c>
      <c r="D16" s="2">
        <f>Data!T15</f>
        <v>0.91312436765436111</v>
      </c>
      <c r="E16">
        <f>Data!O15/C16</f>
        <v>0</v>
      </c>
    </row>
    <row r="17" spans="1:7">
      <c r="A17" s="1" t="str">
        <f>Data!A16</f>
        <v>R-8</v>
      </c>
      <c r="B17">
        <f>Data!N16</f>
        <v>885</v>
      </c>
      <c r="C17" s="5">
        <f>Data!S16</f>
        <v>903.49138542788489</v>
      </c>
      <c r="D17" s="2">
        <f>Data!T16</f>
        <v>0.97953341257467819</v>
      </c>
      <c r="E17" s="2">
        <f>Data!O16/C17</f>
        <v>0.46929058410357466</v>
      </c>
    </row>
    <row r="18" spans="1:7">
      <c r="C18" t="s">
        <v>79</v>
      </c>
      <c r="D18" s="2">
        <f>AVERAGE(D10,D12,D14,D16)</f>
        <v>0.92291331916209185</v>
      </c>
      <c r="E18" s="19" t="s">
        <v>80</v>
      </c>
      <c r="F18" s="19"/>
      <c r="G18" s="19"/>
    </row>
    <row r="19" spans="1:7">
      <c r="C19" t="s">
        <v>81</v>
      </c>
      <c r="D19" s="4">
        <f>STDEV(D10,D12,D14,D16)</f>
        <v>3.7178047382546091E-2</v>
      </c>
      <c r="E19" s="16"/>
      <c r="F19" s="16"/>
      <c r="G19" s="16"/>
    </row>
    <row r="20" spans="1:7">
      <c r="C20" s="10" t="s">
        <v>79</v>
      </c>
      <c r="D20" s="14">
        <f>AVERAGE(D11,D13,D15,D17)</f>
        <v>1.0549731835044722</v>
      </c>
      <c r="E20" s="19" t="s">
        <v>82</v>
      </c>
      <c r="F20" s="19"/>
      <c r="G20" s="19"/>
    </row>
    <row r="21" spans="1:7">
      <c r="C21" t="s">
        <v>81</v>
      </c>
      <c r="D21" s="4">
        <f>STDEV(D11,D13,D15,D17)</f>
        <v>5.0441209321617185E-2</v>
      </c>
      <c r="E21" s="16" t="s">
        <v>83</v>
      </c>
      <c r="F21" s="16"/>
      <c r="G21" s="16"/>
    </row>
    <row r="22" spans="1:7">
      <c r="A22" s="17" t="s">
        <v>64</v>
      </c>
      <c r="B22" s="17">
        <v>2004</v>
      </c>
      <c r="C22" s="15" t="s">
        <v>65</v>
      </c>
    </row>
    <row r="23" spans="1:7">
      <c r="A23" s="1" t="s">
        <v>67</v>
      </c>
      <c r="B23">
        <v>802</v>
      </c>
      <c r="C23" s="5">
        <v>575.78138199753198</v>
      </c>
      <c r="D23" s="2">
        <f t="shared" ref="D23:D28" si="0">B23/C23</f>
        <v>1.3928897756604393</v>
      </c>
      <c r="E23" s="2">
        <v>0</v>
      </c>
    </row>
    <row r="24" spans="1:7">
      <c r="A24" s="1" t="s">
        <v>68</v>
      </c>
      <c r="B24">
        <v>800</v>
      </c>
      <c r="C24" s="5">
        <v>575.78138199753198</v>
      </c>
      <c r="D24" s="2">
        <f t="shared" si="0"/>
        <v>1.3894162350727575</v>
      </c>
      <c r="E24" s="2">
        <v>0.62523730578274084</v>
      </c>
    </row>
    <row r="25" spans="1:7">
      <c r="A25" s="1" t="s">
        <v>69</v>
      </c>
      <c r="B25">
        <v>853</v>
      </c>
      <c r="C25" s="5">
        <v>575.78138199753198</v>
      </c>
      <c r="D25" s="2">
        <f t="shared" si="0"/>
        <v>1.4814650606463275</v>
      </c>
      <c r="E25" s="2">
        <v>0.63</v>
      </c>
    </row>
    <row r="26" spans="1:7">
      <c r="A26" s="1" t="s">
        <v>70</v>
      </c>
      <c r="B26">
        <v>1054</v>
      </c>
      <c r="C26" s="5">
        <v>760.18639002400005</v>
      </c>
      <c r="D26" s="2">
        <f t="shared" si="0"/>
        <v>1.3865020655877882</v>
      </c>
      <c r="E26" s="2">
        <v>0</v>
      </c>
    </row>
    <row r="27" spans="1:7">
      <c r="A27" s="1" t="s">
        <v>71</v>
      </c>
      <c r="B27">
        <v>1088</v>
      </c>
      <c r="C27" s="5">
        <v>760.18639002400005</v>
      </c>
      <c r="D27" s="2">
        <f t="shared" si="0"/>
        <v>1.4312279386712652</v>
      </c>
      <c r="E27" s="2">
        <v>0.6182694220363002</v>
      </c>
    </row>
    <row r="28" spans="1:7">
      <c r="A28" s="1" t="s">
        <v>72</v>
      </c>
      <c r="B28">
        <v>1144</v>
      </c>
      <c r="C28" s="5">
        <v>760.18639002400005</v>
      </c>
      <c r="D28" s="2">
        <f t="shared" si="0"/>
        <v>1.5048940825734627</v>
      </c>
      <c r="E28" s="2">
        <v>0.62</v>
      </c>
    </row>
    <row r="29" spans="1:7">
      <c r="C29" t="s">
        <v>84</v>
      </c>
      <c r="D29" s="2">
        <v>1.39</v>
      </c>
      <c r="E29" s="19" t="s">
        <v>80</v>
      </c>
      <c r="F29" s="19"/>
      <c r="G29" s="19"/>
    </row>
    <row r="30" spans="1:7">
      <c r="C30" s="10" t="s">
        <v>85</v>
      </c>
      <c r="D30" s="14">
        <f>AVERAGE(D24:D25,D27:D28)</f>
        <v>1.4517508292409533</v>
      </c>
      <c r="E30" s="19" t="s">
        <v>86</v>
      </c>
      <c r="F30" s="19"/>
      <c r="G30" s="19"/>
    </row>
    <row r="31" spans="1:7">
      <c r="C31" t="s">
        <v>87</v>
      </c>
      <c r="D31" s="4">
        <f>STDEV(D24,D25,D27,D28)</f>
        <v>5.1684722404931445E-2</v>
      </c>
      <c r="E31" s="16" t="s">
        <v>88</v>
      </c>
      <c r="F31" s="16"/>
      <c r="G31" s="16"/>
    </row>
    <row r="32" spans="1:7">
      <c r="B32" s="6" t="s">
        <v>89</v>
      </c>
      <c r="C32" s="10" t="s">
        <v>90</v>
      </c>
      <c r="D32" s="14">
        <f>AVERAGE(D10:D17,D23:D28)</f>
        <v>1.1784243692055925</v>
      </c>
    </row>
    <row r="33" spans="2:5">
      <c r="B33" s="1" t="s">
        <v>89</v>
      </c>
      <c r="C33" t="s">
        <v>91</v>
      </c>
      <c r="D33" s="4">
        <f>(8*STDEV(D10:D17)+6*STDEV(D23:D28))/14</f>
        <v>6.8647523024019247E-2</v>
      </c>
    </row>
    <row r="34" spans="2:5">
      <c r="B34" s="6" t="s">
        <v>89</v>
      </c>
      <c r="C34" s="10" t="s">
        <v>92</v>
      </c>
      <c r="D34" s="14">
        <f>AVERAGE(D11,D13,D15,D17,D24,D25,D27,D28)</f>
        <v>1.2533620063727127</v>
      </c>
      <c r="E34" t="s">
        <v>88</v>
      </c>
    </row>
    <row r="35" spans="2:5">
      <c r="C35" t="s">
        <v>93</v>
      </c>
      <c r="D35" s="4">
        <f>(4*D21+4*D31)/8</f>
        <v>5.1062965863274315E-2</v>
      </c>
      <c r="E35" t="s">
        <v>88</v>
      </c>
    </row>
    <row r="37" spans="2:5">
      <c r="C37" t="s">
        <v>94</v>
      </c>
      <c r="D37">
        <f t="array" ref="D37">COUNT(IF(E10:E17 &lt;&gt;0,IF(D10:D17 &lt;1,D10:D17)))+COUNT(IF(E23:E28 &lt;&gt;0,IF(D23:D28 &lt;1,D23:D28)))</f>
        <v>1</v>
      </c>
      <c r="E37" t="s">
        <v>88</v>
      </c>
    </row>
  </sheetData>
  <mergeCells count="6">
    <mergeCell ref="A1:D1"/>
    <mergeCell ref="A2:D2"/>
    <mergeCell ref="E29:G29"/>
    <mergeCell ref="E30:G30"/>
    <mergeCell ref="E18:G18"/>
    <mergeCell ref="E20:G20"/>
  </mergeCells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Douglas Goode</dc:creator>
  <cp:keywords/>
  <dc:description/>
  <cp:lastModifiedBy>X</cp:lastModifiedBy>
  <cp:revision/>
  <dcterms:created xsi:type="dcterms:W3CDTF">2004-12-17T11:11:48Z</dcterms:created>
  <dcterms:modified xsi:type="dcterms:W3CDTF">2018-11-12T15:54:14Z</dcterms:modified>
  <cp:category/>
  <cp:contentStatus/>
</cp:coreProperties>
</file>