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BE5\"/>
    </mc:Choice>
  </mc:AlternateContent>
  <xr:revisionPtr revIDLastSave="0" documentId="8_{CCB6AE23-0218-466F-8D6B-BCE53E08257E}" xr6:coauthVersionLast="40" xr6:coauthVersionMax="40" xr10:uidLastSave="{00000000-0000-0000-0000-000000000000}"/>
  <bookViews>
    <workbookView xWindow="32760" yWindow="60" windowWidth="11340" windowHeight="6315" xr2:uid="{00000000-000D-0000-FFFF-FFFF00000000}"/>
  </bookViews>
  <sheets>
    <sheet name="Data" sheetId="1" r:id="rId1"/>
    <sheet name="Summary" sheetId="2" r:id="rId2"/>
  </sheets>
  <definedNames>
    <definedName name="_xlnm.Print_Area" localSheetId="0">Data!$A$1:$AP$24</definedName>
    <definedName name="_xlnm.Print_Area" localSheetId="1">Summary!$A$1:$AA$30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" i="1" l="1"/>
  <c r="L9" i="1"/>
  <c r="O9" i="1"/>
  <c r="P9" i="1"/>
  <c r="S9" i="1"/>
  <c r="P8" i="2"/>
  <c r="T9" i="1"/>
  <c r="AD9" i="1"/>
  <c r="AE9" i="1"/>
  <c r="AH9" i="1"/>
  <c r="AI9" i="1"/>
  <c r="AP9" i="1"/>
  <c r="AA9" i="1"/>
  <c r="H10" i="1"/>
  <c r="L10" i="1"/>
  <c r="O10" i="1"/>
  <c r="P10" i="1"/>
  <c r="S10" i="1"/>
  <c r="T10" i="1"/>
  <c r="AP10" i="1"/>
  <c r="AA10" i="1"/>
  <c r="AB10" i="1"/>
  <c r="AD10" i="1"/>
  <c r="AE10" i="1"/>
  <c r="H13" i="1"/>
  <c r="L13" i="1"/>
  <c r="O13" i="1"/>
  <c r="P13" i="1"/>
  <c r="S13" i="1"/>
  <c r="T13" i="1"/>
  <c r="AP13" i="1"/>
  <c r="AA13" i="1"/>
  <c r="AB13" i="1"/>
  <c r="AD13" i="1"/>
  <c r="AE13" i="1"/>
  <c r="AF13" i="1"/>
  <c r="AG13" i="1"/>
  <c r="U13" i="1"/>
  <c r="H14" i="1"/>
  <c r="L14" i="1"/>
  <c r="O14" i="1"/>
  <c r="P14" i="1"/>
  <c r="S14" i="1"/>
  <c r="P13" i="2"/>
  <c r="T14" i="1"/>
  <c r="AD14" i="1"/>
  <c r="AE14" i="1"/>
  <c r="AF14" i="1"/>
  <c r="AG14" i="1"/>
  <c r="U14" i="1"/>
  <c r="AP14" i="1"/>
  <c r="AA14" i="1"/>
  <c r="T13" i="2"/>
  <c r="H15" i="1"/>
  <c r="L15" i="1"/>
  <c r="O15" i="1"/>
  <c r="P15" i="1"/>
  <c r="S15" i="1"/>
  <c r="P14" i="2"/>
  <c r="T15" i="1"/>
  <c r="Q14" i="2"/>
  <c r="AD15" i="1"/>
  <c r="AE15" i="1"/>
  <c r="AL15" i="1"/>
  <c r="AM15" i="1"/>
  <c r="AH15" i="1"/>
  <c r="AI15" i="1"/>
  <c r="AP15" i="1"/>
  <c r="AA15" i="1"/>
  <c r="H16" i="1"/>
  <c r="L16" i="1"/>
  <c r="O16" i="1"/>
  <c r="P16" i="1"/>
  <c r="P17" i="1"/>
  <c r="S16" i="1"/>
  <c r="T16" i="1"/>
  <c r="AP16" i="1"/>
  <c r="AA16" i="1"/>
  <c r="AB16" i="1"/>
  <c r="AD16" i="1"/>
  <c r="AE16" i="1"/>
  <c r="AF16" i="1"/>
  <c r="AG16" i="1"/>
  <c r="U16" i="1"/>
  <c r="H19" i="1"/>
  <c r="L19" i="1"/>
  <c r="O19" i="1"/>
  <c r="P19" i="1"/>
  <c r="S19" i="1"/>
  <c r="T19" i="1"/>
  <c r="AP19" i="1"/>
  <c r="AA19" i="1"/>
  <c r="AB19" i="1"/>
  <c r="AD19" i="1"/>
  <c r="AE19" i="1"/>
  <c r="AF19" i="1"/>
  <c r="AG19" i="1"/>
  <c r="U19" i="1"/>
  <c r="H20" i="1"/>
  <c r="L20" i="1"/>
  <c r="O20" i="1"/>
  <c r="P20" i="1"/>
  <c r="S20" i="1"/>
  <c r="P22" i="2"/>
  <c r="T20" i="1"/>
  <c r="Q22" i="2"/>
  <c r="AP20" i="1"/>
  <c r="AA20" i="1"/>
  <c r="AB20" i="1"/>
  <c r="U22" i="2"/>
  <c r="AD20" i="1"/>
  <c r="AE20" i="1"/>
  <c r="AF20" i="1"/>
  <c r="AG20" i="1"/>
  <c r="U20" i="1"/>
  <c r="AH20" i="1"/>
  <c r="AI20" i="1"/>
  <c r="AL20" i="1"/>
  <c r="AM20" i="1"/>
  <c r="R22" i="2"/>
  <c r="S22" i="2"/>
  <c r="Z22" i="2"/>
  <c r="O22" i="2"/>
  <c r="AA22" i="2"/>
  <c r="H21" i="1"/>
  <c r="H23" i="2"/>
  <c r="L21" i="1"/>
  <c r="L23" i="2"/>
  <c r="O21" i="1"/>
  <c r="P21" i="1"/>
  <c r="S21" i="1"/>
  <c r="T21" i="1"/>
  <c r="Q23" i="2"/>
  <c r="AP21" i="1"/>
  <c r="AA21" i="1"/>
  <c r="AB21" i="1"/>
  <c r="U23" i="2"/>
  <c r="AD21" i="1"/>
  <c r="AE21" i="1"/>
  <c r="H22" i="1"/>
  <c r="H24" i="2"/>
  <c r="L22" i="1"/>
  <c r="L24" i="2"/>
  <c r="O22" i="1"/>
  <c r="P22" i="1"/>
  <c r="S22" i="1"/>
  <c r="P24" i="2"/>
  <c r="T22" i="1"/>
  <c r="AD22" i="1"/>
  <c r="AE22" i="1"/>
  <c r="AL22" i="1"/>
  <c r="AM22" i="1"/>
  <c r="AF22" i="1"/>
  <c r="AG22" i="1"/>
  <c r="U22" i="1"/>
  <c r="AH22" i="1"/>
  <c r="AI22" i="1"/>
  <c r="AP22" i="1"/>
  <c r="AA22" i="1"/>
  <c r="H23" i="1"/>
  <c r="L23" i="1"/>
  <c r="O23" i="1"/>
  <c r="P23" i="1"/>
  <c r="S23" i="1"/>
  <c r="T23" i="1"/>
  <c r="AP23" i="1"/>
  <c r="AA23" i="1"/>
  <c r="AB23" i="1"/>
  <c r="AD23" i="1"/>
  <c r="AE23" i="1"/>
  <c r="AH23" i="1"/>
  <c r="AI23" i="1"/>
  <c r="AL23" i="1"/>
  <c r="AM23" i="1"/>
  <c r="A7" i="2"/>
  <c r="B7" i="2"/>
  <c r="A8" i="2"/>
  <c r="B8" i="2"/>
  <c r="C8" i="2"/>
  <c r="D8" i="2"/>
  <c r="E8" i="2"/>
  <c r="F8" i="2"/>
  <c r="G8" i="2"/>
  <c r="H8" i="2"/>
  <c r="I8" i="2"/>
  <c r="J8" i="2"/>
  <c r="K8" i="2"/>
  <c r="L8" i="2"/>
  <c r="O8" i="2"/>
  <c r="R8" i="2"/>
  <c r="S8" i="2"/>
  <c r="W8" i="2"/>
  <c r="X8" i="2"/>
  <c r="Q8" i="2"/>
  <c r="A9" i="2"/>
  <c r="B9" i="2"/>
  <c r="C9" i="2"/>
  <c r="D9" i="2"/>
  <c r="E9" i="2"/>
  <c r="F9" i="2"/>
  <c r="G9" i="2"/>
  <c r="H9" i="2"/>
  <c r="I9" i="2"/>
  <c r="J9" i="2"/>
  <c r="K9" i="2"/>
  <c r="L9" i="2"/>
  <c r="O9" i="2"/>
  <c r="P9" i="2"/>
  <c r="Q9" i="2"/>
  <c r="R9" i="2"/>
  <c r="S9" i="2"/>
  <c r="T9" i="2"/>
  <c r="U9" i="2"/>
  <c r="W9" i="2"/>
  <c r="A11" i="2"/>
  <c r="B11" i="2"/>
  <c r="A12" i="2"/>
  <c r="B12" i="2"/>
  <c r="C12" i="2"/>
  <c r="D12" i="2"/>
  <c r="E12" i="2"/>
  <c r="F12" i="2"/>
  <c r="G12" i="2"/>
  <c r="H12" i="2"/>
  <c r="I12" i="2"/>
  <c r="J12" i="2"/>
  <c r="K12" i="2"/>
  <c r="L12" i="2"/>
  <c r="O12" i="2"/>
  <c r="R12" i="2"/>
  <c r="S12" i="2"/>
  <c r="W12" i="2"/>
  <c r="X12" i="2"/>
  <c r="P12" i="2"/>
  <c r="Q12" i="2"/>
  <c r="T12" i="2"/>
  <c r="U12" i="2"/>
  <c r="Z12" i="2"/>
  <c r="AA12" i="2"/>
  <c r="A13" i="2"/>
  <c r="B13" i="2"/>
  <c r="C13" i="2"/>
  <c r="D13" i="2"/>
  <c r="E13" i="2"/>
  <c r="F13" i="2"/>
  <c r="G13" i="2"/>
  <c r="H13" i="2"/>
  <c r="I13" i="2"/>
  <c r="J13" i="2"/>
  <c r="K13" i="2"/>
  <c r="L13" i="2"/>
  <c r="O13" i="2"/>
  <c r="Q13" i="2"/>
  <c r="R13" i="2"/>
  <c r="S13" i="2"/>
  <c r="A14" i="2"/>
  <c r="B14" i="2"/>
  <c r="C14" i="2"/>
  <c r="D14" i="2"/>
  <c r="E14" i="2"/>
  <c r="F14" i="2"/>
  <c r="G14" i="2"/>
  <c r="H14" i="2"/>
  <c r="I14" i="2"/>
  <c r="J14" i="2"/>
  <c r="K14" i="2"/>
  <c r="L14" i="2"/>
  <c r="O14" i="2"/>
  <c r="R14" i="2"/>
  <c r="S14" i="2"/>
  <c r="A15" i="2"/>
  <c r="B15" i="2"/>
  <c r="C15" i="2"/>
  <c r="D15" i="2"/>
  <c r="E15" i="2"/>
  <c r="F15" i="2"/>
  <c r="G15" i="2"/>
  <c r="H15" i="2"/>
  <c r="I15" i="2"/>
  <c r="J15" i="2"/>
  <c r="K15" i="2"/>
  <c r="L15" i="2"/>
  <c r="O15" i="2"/>
  <c r="P15" i="2"/>
  <c r="Q15" i="2"/>
  <c r="R15" i="2"/>
  <c r="S15" i="2"/>
  <c r="T15" i="2"/>
  <c r="U15" i="2"/>
  <c r="W15" i="2"/>
  <c r="Z15" i="2"/>
  <c r="AA15" i="2"/>
  <c r="A20" i="2"/>
  <c r="B20" i="2"/>
  <c r="C20" i="2"/>
  <c r="A21" i="2"/>
  <c r="B21" i="2"/>
  <c r="C21" i="2"/>
  <c r="D21" i="2"/>
  <c r="E21" i="2"/>
  <c r="F21" i="2"/>
  <c r="G21" i="2"/>
  <c r="H21" i="2"/>
  <c r="I21" i="2"/>
  <c r="J21" i="2"/>
  <c r="K21" i="2"/>
  <c r="L21" i="2"/>
  <c r="O21" i="2"/>
  <c r="P21" i="2"/>
  <c r="Q21" i="2"/>
  <c r="R21" i="2"/>
  <c r="S21" i="2"/>
  <c r="T21" i="2"/>
  <c r="U21" i="2"/>
  <c r="W21" i="2"/>
  <c r="Z21" i="2"/>
  <c r="AA21" i="2"/>
  <c r="A22" i="2"/>
  <c r="B22" i="2"/>
  <c r="C22" i="2"/>
  <c r="D22" i="2"/>
  <c r="E22" i="2"/>
  <c r="F22" i="2"/>
  <c r="G22" i="2"/>
  <c r="H22" i="2"/>
  <c r="I22" i="2"/>
  <c r="J22" i="2"/>
  <c r="K22" i="2"/>
  <c r="L22" i="2"/>
  <c r="W22" i="2"/>
  <c r="X22" i="2"/>
  <c r="A23" i="2"/>
  <c r="B23" i="2"/>
  <c r="C23" i="2"/>
  <c r="D23" i="2"/>
  <c r="E23" i="2"/>
  <c r="F23" i="2"/>
  <c r="G23" i="2"/>
  <c r="I23" i="2"/>
  <c r="J23" i="2"/>
  <c r="K23" i="2"/>
  <c r="O23" i="2"/>
  <c r="P23" i="2"/>
  <c r="R23" i="2"/>
  <c r="S23" i="2"/>
  <c r="W23" i="2"/>
  <c r="T23" i="2"/>
  <c r="Z23" i="2"/>
  <c r="A24" i="2"/>
  <c r="B24" i="2"/>
  <c r="C24" i="2"/>
  <c r="D24" i="2"/>
  <c r="E24" i="2"/>
  <c r="F24" i="2"/>
  <c r="G24" i="2"/>
  <c r="I24" i="2"/>
  <c r="J24" i="2"/>
  <c r="K24" i="2"/>
  <c r="O24" i="2"/>
  <c r="Q24" i="2"/>
  <c r="R24" i="2"/>
  <c r="S24" i="2"/>
  <c r="A25" i="2"/>
  <c r="B25" i="2"/>
  <c r="C25" i="2"/>
  <c r="D25" i="2"/>
  <c r="E25" i="2"/>
  <c r="F25" i="2"/>
  <c r="G25" i="2"/>
  <c r="H25" i="2"/>
  <c r="I25" i="2"/>
  <c r="J25" i="2"/>
  <c r="K25" i="2"/>
  <c r="L25" i="2"/>
  <c r="O25" i="2"/>
  <c r="P25" i="2"/>
  <c r="Q25" i="2"/>
  <c r="R25" i="2"/>
  <c r="S25" i="2"/>
  <c r="T25" i="2"/>
  <c r="U25" i="2"/>
  <c r="W25" i="2"/>
  <c r="Z25" i="2"/>
  <c r="AA25" i="2"/>
  <c r="V19" i="1"/>
  <c r="Z14" i="2"/>
  <c r="AA14" i="2"/>
  <c r="N22" i="1"/>
  <c r="V22" i="1"/>
  <c r="M22" i="1"/>
  <c r="V20" i="1"/>
  <c r="N20" i="1"/>
  <c r="M20" i="1"/>
  <c r="V16" i="1"/>
  <c r="W24" i="2"/>
  <c r="X24" i="2"/>
  <c r="AA23" i="2"/>
  <c r="X23" i="2"/>
  <c r="V14" i="1"/>
  <c r="AH14" i="1"/>
  <c r="AI14" i="1"/>
  <c r="M14" i="1"/>
  <c r="V13" i="1"/>
  <c r="Z13" i="2"/>
  <c r="AA13" i="2"/>
  <c r="W13" i="2"/>
  <c r="X13" i="2"/>
  <c r="T24" i="2"/>
  <c r="AB22" i="1"/>
  <c r="U24" i="2"/>
  <c r="U27" i="2"/>
  <c r="AH21" i="1"/>
  <c r="AI21" i="1"/>
  <c r="AL21" i="1"/>
  <c r="AM21" i="1"/>
  <c r="AH10" i="1"/>
  <c r="AI10" i="1"/>
  <c r="AL10" i="1"/>
  <c r="AM10" i="1"/>
  <c r="AH19" i="1"/>
  <c r="AI19" i="1"/>
  <c r="M19" i="1"/>
  <c r="AH16" i="1"/>
  <c r="AI16" i="1"/>
  <c r="M16" i="1"/>
  <c r="AL16" i="1"/>
  <c r="AM16" i="1"/>
  <c r="N16" i="1"/>
  <c r="AB14" i="1"/>
  <c r="U13" i="2"/>
  <c r="AB15" i="1"/>
  <c r="U14" i="2"/>
  <c r="U16" i="2"/>
  <c r="AL9" i="1"/>
  <c r="AM9" i="1"/>
  <c r="AF9" i="1"/>
  <c r="AG9" i="1"/>
  <c r="U9" i="1"/>
  <c r="Z24" i="2"/>
  <c r="AA24" i="2"/>
  <c r="T22" i="2"/>
  <c r="AL19" i="1"/>
  <c r="AM19" i="1"/>
  <c r="N19" i="1"/>
  <c r="AH13" i="1"/>
  <c r="AI13" i="1"/>
  <c r="M13" i="1"/>
  <c r="X9" i="2"/>
  <c r="X11" i="2"/>
  <c r="T14" i="2"/>
  <c r="AF15" i="1"/>
  <c r="AG15" i="1"/>
  <c r="U15" i="1"/>
  <c r="X25" i="2"/>
  <c r="X21" i="2"/>
  <c r="X15" i="2"/>
  <c r="W14" i="2"/>
  <c r="X14" i="2"/>
  <c r="Z9" i="2"/>
  <c r="AA9" i="2"/>
  <c r="Z8" i="2"/>
  <c r="AA8" i="2"/>
  <c r="AF23" i="1"/>
  <c r="AG23" i="1"/>
  <c r="U23" i="1"/>
  <c r="AF21" i="1"/>
  <c r="AG21" i="1"/>
  <c r="U21" i="1"/>
  <c r="AL14" i="1"/>
  <c r="AM14" i="1"/>
  <c r="N14" i="1"/>
  <c r="AF10" i="1"/>
  <c r="AG10" i="1"/>
  <c r="U10" i="1"/>
  <c r="AB9" i="1"/>
  <c r="T8" i="2"/>
  <c r="AL13" i="1"/>
  <c r="AM13" i="1"/>
  <c r="N13" i="1"/>
  <c r="AJ19" i="1"/>
  <c r="AK19" i="1"/>
  <c r="W19" i="1"/>
  <c r="M21" i="2"/>
  <c r="X17" i="2"/>
  <c r="X19" i="2"/>
  <c r="X27" i="2"/>
  <c r="X29" i="2"/>
  <c r="AJ13" i="1"/>
  <c r="AK13" i="1"/>
  <c r="W13" i="1"/>
  <c r="M12" i="2"/>
  <c r="AA26" i="2"/>
  <c r="AA27" i="2"/>
  <c r="N15" i="2"/>
  <c r="AN16" i="1"/>
  <c r="AO16" i="1"/>
  <c r="X16" i="1"/>
  <c r="AA17" i="2"/>
  <c r="AA16" i="2"/>
  <c r="AA10" i="2"/>
  <c r="AA18" i="2"/>
  <c r="AA28" i="2"/>
  <c r="AA11" i="2"/>
  <c r="AA19" i="2"/>
  <c r="AA29" i="2"/>
  <c r="N12" i="2"/>
  <c r="AN13" i="1"/>
  <c r="AO13" i="1"/>
  <c r="X13" i="1"/>
  <c r="AN14" i="1"/>
  <c r="AO14" i="1"/>
  <c r="X14" i="1"/>
  <c r="N13" i="2"/>
  <c r="AN19" i="1"/>
  <c r="AO19" i="1"/>
  <c r="X19" i="1"/>
  <c r="N21" i="2"/>
  <c r="AJ16" i="1"/>
  <c r="AK16" i="1"/>
  <c r="W16" i="1"/>
  <c r="M15" i="2"/>
  <c r="X16" i="2"/>
  <c r="X18" i="2"/>
  <c r="X28" i="2"/>
  <c r="AJ14" i="1"/>
  <c r="AK14" i="1"/>
  <c r="W14" i="1"/>
  <c r="M13" i="2"/>
  <c r="U26" i="2"/>
  <c r="AJ20" i="1"/>
  <c r="AK20" i="1"/>
  <c r="W20" i="1"/>
  <c r="M22" i="2"/>
  <c r="M21" i="1"/>
  <c r="N21" i="1"/>
  <c r="V21" i="1"/>
  <c r="X26" i="2"/>
  <c r="V15" i="1"/>
  <c r="M15" i="1"/>
  <c r="N15" i="1"/>
  <c r="V9" i="1"/>
  <c r="M9" i="1"/>
  <c r="N9" i="1"/>
  <c r="X10" i="2"/>
  <c r="N22" i="2"/>
  <c r="AN20" i="1"/>
  <c r="AO20" i="1"/>
  <c r="X20" i="1"/>
  <c r="AN22" i="1"/>
  <c r="AO22" i="1"/>
  <c r="X22" i="1"/>
  <c r="N24" i="2"/>
  <c r="V10" i="1"/>
  <c r="M10" i="1"/>
  <c r="N10" i="1"/>
  <c r="U17" i="2"/>
  <c r="M24" i="2"/>
  <c r="AJ22" i="1"/>
  <c r="AK22" i="1"/>
  <c r="W22" i="1"/>
  <c r="Q17" i="1" a="1"/>
  <c r="Q17" i="1"/>
  <c r="U8" i="2"/>
  <c r="V23" i="1"/>
  <c r="N23" i="1"/>
  <c r="M23" i="1"/>
  <c r="AN10" i="1"/>
  <c r="AO10" i="1"/>
  <c r="X10" i="1"/>
  <c r="N9" i="2"/>
  <c r="AN23" i="1"/>
  <c r="AO23" i="1"/>
  <c r="X23" i="1"/>
  <c r="N25" i="2"/>
  <c r="AJ9" i="1"/>
  <c r="AK9" i="1"/>
  <c r="W9" i="1"/>
  <c r="M8" i="2"/>
  <c r="AN21" i="1"/>
  <c r="AO21" i="1"/>
  <c r="X21" i="1"/>
  <c r="N23" i="2"/>
  <c r="U11" i="2"/>
  <c r="U19" i="2"/>
  <c r="U29" i="2"/>
  <c r="U10" i="2"/>
  <c r="U28" i="2"/>
  <c r="U18" i="2"/>
  <c r="AN15" i="1"/>
  <c r="AO15" i="1"/>
  <c r="X15" i="1"/>
  <c r="N14" i="2"/>
  <c r="AJ23" i="1"/>
  <c r="AK23" i="1"/>
  <c r="W23" i="1"/>
  <c r="M25" i="2"/>
  <c r="AN9" i="1"/>
  <c r="AO9" i="1"/>
  <c r="X9" i="1"/>
  <c r="N8" i="2"/>
  <c r="AJ15" i="1"/>
  <c r="AK15" i="1"/>
  <c r="W15" i="1"/>
  <c r="M14" i="2"/>
  <c r="AJ10" i="1"/>
  <c r="AK10" i="1"/>
  <c r="W10" i="1"/>
  <c r="M9" i="2"/>
  <c r="M23" i="2"/>
  <c r="AJ21" i="1"/>
  <c r="AK21" i="1"/>
  <c r="W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Goode</author>
  </authors>
  <commentList>
    <comment ref="Y3" authorId="0" shapeId="0" xr:uid="{00000000-0006-0000-0000-000001000000}">
      <text>
        <r>
          <rPr>
            <b/>
            <sz val="8"/>
            <color indexed="81"/>
            <rFont val="Tahoma"/>
          </rPr>
          <t>Douglas Goode:
alfa*N on interaction curve at same N/M ratio as test</t>
        </r>
        <r>
          <rPr>
            <sz val="8"/>
            <color indexed="81"/>
            <rFont val="Tahoma"/>
          </rPr>
          <t xml:space="preserve">
</t>
        </r>
        <r>
          <rPr>
            <b/>
            <sz val="8"/>
            <color indexed="81"/>
            <rFont val="Tahoma"/>
            <family val="2"/>
          </rPr>
          <t>alfa = 0.9 if fy &lt; 420 else alfa = 0.8</t>
        </r>
      </text>
    </comment>
    <comment ref="AA4" authorId="0" shapeId="0" xr:uid="{00000000-0006-0000-0000-000002000000}">
      <text>
        <r>
          <rPr>
            <b/>
            <sz val="8"/>
            <color indexed="81"/>
            <rFont val="Tahoma"/>
          </rPr>
          <t>Douglas Goode:
  EC4 biaxial equation
N = 1/(alfa(1/(Nx/alfa) + 1/(Nz/alfa)))</t>
        </r>
        <r>
          <rPr>
            <sz val="8"/>
            <color indexed="81"/>
            <rFont val="Tahoma"/>
          </rPr>
          <t xml:space="preserve">
</t>
        </r>
        <r>
          <rPr>
            <b/>
            <sz val="8"/>
            <color indexed="81"/>
            <rFont val="Tahoma"/>
            <family val="2"/>
          </rPr>
          <t>alfa = 0.9 if fy &lt; 420
else alfa = 0.8</t>
        </r>
      </text>
    </comment>
    <comment ref="AB5" authorId="0" shapeId="0" xr:uid="{00000000-0006-0000-0000-000003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EC4 critical is minimum N of:
Minor, Major, Biax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Goode</author>
  </authors>
  <commentList>
    <comment ref="T5" authorId="0" shapeId="0" xr:uid="{00000000-0006-0000-0100-000001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Straight line interaction as EC4</t>
        </r>
      </text>
    </comment>
    <comment ref="U5" authorId="0" shapeId="0" xr:uid="{00000000-0006-0000-0100-000002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EC4 N is minimum of Nminor, Nmajor, Nbiax</t>
        </r>
      </text>
    </comment>
    <comment ref="W5" authorId="0" shapeId="0" xr:uid="{00000000-0006-0000-0100-000003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Nbiaxa=1/SQRT(1/Nmin^2 + 1/Nmaj^2)
Nmin &amp; Nmaj include alpha factor
if fy&lt;420  alpha=0.9 else alpha=0.8</t>
        </r>
      </text>
    </comment>
    <comment ref="X5" authorId="0" shapeId="0" xr:uid="{00000000-0006-0000-0100-000004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critical N is minimum of Nminor, Nmajor, Nbiaxa</t>
        </r>
      </text>
    </comment>
    <comment ref="Z5" authorId="0" shapeId="0" xr:uid="{00000000-0006-0000-0100-000005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Nbiax1 assumes alpha=1 in calculating Nmin &amp; Nmaj thus divide existing Nmin, Nmaj by alpha
ie Nbiax1=1/(SQRT(1/(Nmin/alpha)^2 + 1/(Nmaj/alpha)^2)
if fy&lt;420  alpha=0.9  else alpha=0.8
</t>
        </r>
      </text>
    </comment>
    <comment ref="AA5" authorId="0" shapeId="0" xr:uid="{00000000-0006-0000-0100-000006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Douglas Goode:
critical N is minimum of Nminor, Nmajor, Nbiax1</t>
        </r>
      </text>
    </comment>
  </commentList>
</comments>
</file>

<file path=xl/sharedStrings.xml><?xml version="1.0" encoding="utf-8"?>
<sst xmlns="http://schemas.openxmlformats.org/spreadsheetml/2006/main" count="218" uniqueCount="114">
  <si>
    <t>l)  New data from Guo Nov 2006    Biaxial  Bending of</t>
  </si>
  <si>
    <t>Rectangular CFST Columns</t>
  </si>
  <si>
    <t>N from N/M curve</t>
  </si>
  <si>
    <t>DATA</t>
  </si>
  <si>
    <t>Test</t>
  </si>
  <si>
    <t>minor</t>
  </si>
  <si>
    <t>major</t>
  </si>
  <si>
    <t xml:space="preserve">Minor </t>
  </si>
  <si>
    <t>Major</t>
  </si>
  <si>
    <t>Biax</t>
  </si>
  <si>
    <t>major axis</t>
  </si>
  <si>
    <t>minor axis</t>
  </si>
  <si>
    <t>local</t>
  </si>
  <si>
    <t>Mmajor</t>
  </si>
  <si>
    <t>Mminor</t>
  </si>
  <si>
    <r>
      <t>N</t>
    </r>
    <r>
      <rPr>
        <sz val="10"/>
        <rFont val="Arial"/>
      </rPr>
      <t>plR</t>
    </r>
  </si>
  <si>
    <r>
      <t>ChiN</t>
    </r>
    <r>
      <rPr>
        <sz val="10"/>
        <rFont val="Arial"/>
        <family val="2"/>
      </rPr>
      <t>plR</t>
    </r>
  </si>
  <si>
    <t>axis EC4</t>
  </si>
  <si>
    <t>N</t>
  </si>
  <si>
    <t>|&lt;---</t>
  </si>
  <si>
    <t>suplement</t>
  </si>
  <si>
    <t>ary</t>
  </si>
  <si>
    <t>calculation</t>
  </si>
  <si>
    <t>---&gt;|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</si>
  <si>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</si>
  <si>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</si>
  <si>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</si>
  <si>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</si>
  <si>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</si>
  <si>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</si>
  <si>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</si>
  <si>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</si>
  <si>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</si>
  <si>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ex</t>
  </si>
  <si>
    <t>ez</t>
  </si>
  <si>
    <t>L/b</t>
  </si>
  <si>
    <t>Slenderness</t>
  </si>
  <si>
    <t>h/t</t>
  </si>
  <si>
    <t>buckling</t>
  </si>
  <si>
    <r>
      <t>d</t>
    </r>
    <r>
      <rPr>
        <sz val="10"/>
        <rFont val="Arial"/>
        <family val="2"/>
      </rPr>
      <t>o</t>
    </r>
  </si>
  <si>
    <r>
      <t>(N*e</t>
    </r>
    <r>
      <rPr>
        <sz val="10"/>
        <rFont val="Arial"/>
        <family val="2"/>
      </rPr>
      <t>maj</t>
    </r>
    <r>
      <rPr>
        <b/>
        <sz val="10"/>
        <rFont val="Arial"/>
        <family val="2"/>
      </rPr>
      <t>)</t>
    </r>
  </si>
  <si>
    <r>
      <t>(N*e</t>
    </r>
    <r>
      <rPr>
        <sz val="10"/>
        <rFont val="Arial"/>
        <family val="2"/>
      </rPr>
      <t>min</t>
    </r>
    <r>
      <rPr>
        <b/>
        <sz val="10"/>
        <rFont val="Arial"/>
        <family val="2"/>
      </rPr>
      <t>)</t>
    </r>
  </si>
  <si>
    <t>EC4</t>
  </si>
  <si>
    <t>alfa*Nz</t>
  </si>
  <si>
    <t>alfa*Nx</t>
  </si>
  <si>
    <t>Bc</t>
  </si>
  <si>
    <t>Hc</t>
  </si>
  <si>
    <t>Ac</t>
  </si>
  <si>
    <t>As</t>
  </si>
  <si>
    <r>
      <t>(EI)e</t>
    </r>
    <r>
      <rPr>
        <sz val="10"/>
        <rFont val="Arial"/>
        <family val="2"/>
      </rPr>
      <t>minor</t>
    </r>
  </si>
  <si>
    <r>
      <t>Ncr</t>
    </r>
    <r>
      <rPr>
        <sz val="10"/>
        <rFont val="Arial"/>
        <family val="2"/>
      </rPr>
      <t>minor</t>
    </r>
  </si>
  <si>
    <t>phi</t>
  </si>
  <si>
    <t>Chi</t>
  </si>
  <si>
    <t>(EI)e maj</t>
  </si>
  <si>
    <t>Ncr maj</t>
  </si>
  <si>
    <t>alpha</t>
  </si>
  <si>
    <t>mm</t>
  </si>
  <si>
    <t>MPa</t>
  </si>
  <si>
    <t>GPa</t>
  </si>
  <si>
    <t>if &gt; 1</t>
  </si>
  <si>
    <t>kN</t>
  </si>
  <si>
    <t>kNm</t>
  </si>
  <si>
    <t>Short</t>
  </si>
  <si>
    <t>critical</t>
  </si>
  <si>
    <t>mm2</t>
  </si>
  <si>
    <t>kNmm^2</t>
  </si>
  <si>
    <t>kNnn^2</t>
  </si>
  <si>
    <t>Tian Hua</t>
  </si>
  <si>
    <t>Ref. 97</t>
  </si>
  <si>
    <t>Bridge</t>
  </si>
  <si>
    <t>Ref. 98</t>
  </si>
  <si>
    <t>SHC-3</t>
  </si>
  <si>
    <t>SHC-4</t>
  </si>
  <si>
    <t>SHC-5</t>
  </si>
  <si>
    <t>SHC-6</t>
  </si>
  <si>
    <t>loc B &gt;1</t>
  </si>
  <si>
    <t>Guo Lanhui</t>
  </si>
  <si>
    <t>Ref. 108</t>
  </si>
  <si>
    <t>*</t>
  </si>
  <si>
    <t>S-K3-2</t>
  </si>
  <si>
    <t>S-K3-3</t>
  </si>
  <si>
    <t>R-K3-3</t>
  </si>
  <si>
    <t>R-K3-4</t>
  </si>
  <si>
    <t>R-K3-6</t>
  </si>
  <si>
    <t>Long Square and Rectangular Tube Columns</t>
  </si>
  <si>
    <t>with Biaxial Bending</t>
  </si>
  <si>
    <t>Summary</t>
  </si>
  <si>
    <t xml:space="preserve">*  Ec = </t>
  </si>
  <si>
    <t>22*((fcyl+8)/10)^0.3</t>
  </si>
  <si>
    <t>Eurocode 4  2nd order analysis</t>
  </si>
  <si>
    <t>Assuming an eliptical interaction between</t>
  </si>
  <si>
    <t>from Graph EC4</t>
  </si>
  <si>
    <t>Mmajor and Mminor (rather than straight line)</t>
  </si>
  <si>
    <r>
      <t>e</t>
    </r>
    <r>
      <rPr>
        <sz val="10"/>
        <rFont val="Arial"/>
        <family val="2"/>
      </rPr>
      <t>maj (ex)</t>
    </r>
  </si>
  <si>
    <r>
      <t>e</t>
    </r>
    <r>
      <rPr>
        <sz val="10"/>
        <rFont val="Arial"/>
        <family val="2"/>
      </rPr>
      <t>min (ez)</t>
    </r>
  </si>
  <si>
    <r>
      <t xml:space="preserve">M </t>
    </r>
    <r>
      <rPr>
        <sz val="10"/>
        <rFont val="Arial"/>
        <family val="2"/>
      </rPr>
      <t>(N*ex)</t>
    </r>
  </si>
  <si>
    <r>
      <t xml:space="preserve">M </t>
    </r>
    <r>
      <rPr>
        <sz val="10"/>
        <rFont val="Arial"/>
        <family val="2"/>
      </rPr>
      <t>(N*ez)</t>
    </r>
  </si>
  <si>
    <t>N minor</t>
  </si>
  <si>
    <t>N major</t>
  </si>
  <si>
    <t>N biax</t>
  </si>
  <si>
    <t>Test N</t>
  </si>
  <si>
    <t>N biaxa</t>
  </si>
  <si>
    <t xml:space="preserve"> Test N </t>
  </si>
  <si>
    <t>N biax1</t>
  </si>
  <si>
    <t>EC4 N</t>
  </si>
  <si>
    <t>critical N</t>
  </si>
  <si>
    <t>Av (2) =</t>
  </si>
  <si>
    <t>St Dev =</t>
  </si>
  <si>
    <t>Av (4) =</t>
  </si>
  <si>
    <t xml:space="preserve">O A </t>
  </si>
  <si>
    <t>Av (6) =</t>
  </si>
  <si>
    <t>Av (5) =</t>
  </si>
  <si>
    <t>Av (11) =</t>
  </si>
  <si>
    <t>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</si>
</sst>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  <font>
      <sz val="8"/>
      <color indexed="81"/>
      <name val="Tahoma"/>
    </font>
    <font>
      <b/>
      <sz val="8"/>
      <color indexed="81"/>
      <name val="Tahoma"/>
    </font>
    <font>
      <b/>
      <sz val="8"/>
      <color indexed="81"/>
      <name val="Tahoma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"/>
  <sheetViews>
    <sheetView tabSelected="1" zoomScaleNormal="100" workbookViewId="0" xr3:uid="{AEA406A1-0E4B-5B11-9CD5-51D6E497D94C}">
      <pane xSplit="1" ySplit="7" topLeftCell="W8" activePane="bottomRight" state="frozen"/>
      <selection pane="bottomRight" activeCell="AB9" sqref="AB9"/>
      <selection pane="bottomLeft" activeCell="A8" sqref="A8"/>
      <selection pane="topRight" activeCell="B1" sqref="B1"/>
    </sheetView>
  </sheetViews>
  <sheetFormatPr defaultRowHeight="12.75"/>
  <cols>
    <col min="1" max="1" width="14.7109375" customWidth="1"/>
    <col min="34" max="34" width="11" bestFit="1" customWidth="1"/>
    <col min="38" max="38" width="11" bestFit="1" customWidth="1"/>
  </cols>
  <sheetData>
    <row r="1" spans="1:42">
      <c r="A1" s="16" t="s">
        <v>0</v>
      </c>
      <c r="B1" s="16"/>
      <c r="C1" s="16"/>
      <c r="D1" s="16"/>
      <c r="E1" s="16"/>
    </row>
    <row r="2" spans="1:42">
      <c r="A2" s="16" t="s">
        <v>1</v>
      </c>
      <c r="B2" s="16"/>
      <c r="C2" s="16"/>
      <c r="D2" s="16"/>
    </row>
    <row r="3" spans="1:42">
      <c r="R3" s="15"/>
      <c r="S3" s="15"/>
      <c r="T3" s="15"/>
      <c r="U3" s="15"/>
      <c r="V3" s="15"/>
      <c r="Y3" s="16" t="s">
        <v>2</v>
      </c>
      <c r="Z3" s="16"/>
      <c r="AA3" s="15"/>
    </row>
    <row r="4" spans="1:42">
      <c r="A4" s="15" t="s">
        <v>3</v>
      </c>
      <c r="S4" s="16" t="s">
        <v>4</v>
      </c>
      <c r="T4" s="16"/>
      <c r="W4" s="1" t="s">
        <v>5</v>
      </c>
      <c r="X4" s="1" t="s">
        <v>6</v>
      </c>
      <c r="Y4" s="15" t="s">
        <v>7</v>
      </c>
      <c r="Z4" s="15" t="s">
        <v>8</v>
      </c>
      <c r="AA4" s="15" t="s">
        <v>9</v>
      </c>
    </row>
    <row r="5" spans="1:42">
      <c r="J5" t="s">
        <v>10</v>
      </c>
      <c r="K5" t="s">
        <v>11</v>
      </c>
      <c r="P5" s="15" t="s">
        <v>12</v>
      </c>
      <c r="R5" s="15" t="s">
        <v>4</v>
      </c>
      <c r="S5" s="15" t="s">
        <v>13</v>
      </c>
      <c r="T5" s="15" t="s">
        <v>14</v>
      </c>
      <c r="U5" s="15" t="s">
        <v>15</v>
      </c>
      <c r="V5" s="2" t="s">
        <v>4</v>
      </c>
      <c r="W5" s="15" t="s">
        <v>16</v>
      </c>
      <c r="X5" s="15" t="s">
        <v>16</v>
      </c>
      <c r="Y5" s="15" t="s">
        <v>17</v>
      </c>
      <c r="Z5" s="15" t="s">
        <v>17</v>
      </c>
      <c r="AA5" s="15" t="s">
        <v>18</v>
      </c>
      <c r="AB5" s="2" t="s">
        <v>4</v>
      </c>
      <c r="AD5" t="s">
        <v>19</v>
      </c>
      <c r="AE5" t="s">
        <v>20</v>
      </c>
      <c r="AF5" t="s">
        <v>21</v>
      </c>
      <c r="AG5" t="s">
        <v>22</v>
      </c>
      <c r="AP5" s="9" t="s">
        <v>23</v>
      </c>
    </row>
    <row r="6" spans="1:42">
      <c r="A6" s="15" t="s">
        <v>24</v>
      </c>
      <c r="B6" s="15" t="s">
        <v>25</v>
      </c>
      <c r="C6" s="15" t="s">
        <v>26</v>
      </c>
      <c r="D6" s="15" t="s">
        <v>27</v>
      </c>
      <c r="E6" s="15" t="s">
        <v>28</v>
      </c>
      <c r="F6" s="15" t="s">
        <v>29</v>
      </c>
      <c r="G6" s="15" t="s">
        <v>30</v>
      </c>
      <c r="H6" s="15" t="s">
        <v>31</v>
      </c>
      <c r="I6" s="15" t="s">
        <v>32</v>
      </c>
      <c r="J6" s="15" t="s">
        <v>33</v>
      </c>
      <c r="K6" s="15" t="s">
        <v>34</v>
      </c>
      <c r="L6" s="15" t="s">
        <v>35</v>
      </c>
      <c r="M6" s="16" t="s">
        <v>36</v>
      </c>
      <c r="N6" s="16"/>
      <c r="O6" s="15" t="s">
        <v>37</v>
      </c>
      <c r="P6" s="15" t="s">
        <v>38</v>
      </c>
      <c r="Q6" s="15" t="s">
        <v>4</v>
      </c>
      <c r="R6" s="3" t="s">
        <v>39</v>
      </c>
      <c r="S6" s="15" t="s">
        <v>40</v>
      </c>
      <c r="T6" s="15" t="s">
        <v>41</v>
      </c>
      <c r="U6" s="15" t="s">
        <v>42</v>
      </c>
      <c r="V6" s="15" t="s">
        <v>42</v>
      </c>
      <c r="W6" s="15" t="s">
        <v>42</v>
      </c>
      <c r="X6" s="15" t="s">
        <v>42</v>
      </c>
      <c r="Y6" s="15" t="s">
        <v>43</v>
      </c>
      <c r="Z6" s="15" t="s">
        <v>44</v>
      </c>
      <c r="AA6" s="15" t="s">
        <v>42</v>
      </c>
      <c r="AB6" s="15" t="s">
        <v>42</v>
      </c>
      <c r="AD6" s="15" t="s">
        <v>45</v>
      </c>
      <c r="AE6" s="15" t="s">
        <v>46</v>
      </c>
      <c r="AF6" s="15" t="s">
        <v>47</v>
      </c>
      <c r="AG6" s="15" t="s">
        <v>48</v>
      </c>
      <c r="AH6" s="15" t="s">
        <v>49</v>
      </c>
      <c r="AI6" s="15" t="s">
        <v>50</v>
      </c>
      <c r="AJ6" s="15" t="s">
        <v>51</v>
      </c>
      <c r="AK6" s="15" t="s">
        <v>52</v>
      </c>
      <c r="AL6" s="15" t="s">
        <v>53</v>
      </c>
      <c r="AM6" s="15" t="s">
        <v>54</v>
      </c>
      <c r="AN6" s="15" t="s">
        <v>6</v>
      </c>
      <c r="AO6" s="15" t="s">
        <v>6</v>
      </c>
      <c r="AP6" s="15" t="s">
        <v>55</v>
      </c>
    </row>
    <row r="7" spans="1:42">
      <c r="A7" s="15"/>
      <c r="B7" s="15" t="s">
        <v>56</v>
      </c>
      <c r="C7" s="15" t="s">
        <v>56</v>
      </c>
      <c r="D7" s="15" t="s">
        <v>56</v>
      </c>
      <c r="E7" s="15" t="s">
        <v>57</v>
      </c>
      <c r="F7" s="15" t="s">
        <v>58</v>
      </c>
      <c r="G7" s="15" t="s">
        <v>57</v>
      </c>
      <c r="H7" s="15" t="s">
        <v>58</v>
      </c>
      <c r="I7" s="15" t="s">
        <v>56</v>
      </c>
      <c r="J7" s="15" t="s">
        <v>56</v>
      </c>
      <c r="K7" s="15" t="s">
        <v>56</v>
      </c>
      <c r="L7" s="15"/>
      <c r="M7" s="8" t="s">
        <v>11</v>
      </c>
      <c r="N7" s="8" t="s">
        <v>10</v>
      </c>
      <c r="O7" s="8"/>
      <c r="P7" s="15" t="s">
        <v>59</v>
      </c>
      <c r="Q7" s="15" t="s">
        <v>60</v>
      </c>
      <c r="R7" s="15" t="s">
        <v>56</v>
      </c>
      <c r="S7" s="15" t="s">
        <v>61</v>
      </c>
      <c r="T7" s="15" t="s">
        <v>61</v>
      </c>
      <c r="U7" s="15" t="s">
        <v>60</v>
      </c>
      <c r="V7" s="15" t="s">
        <v>62</v>
      </c>
      <c r="W7" s="15" t="s">
        <v>60</v>
      </c>
      <c r="X7" s="15" t="s">
        <v>60</v>
      </c>
      <c r="Y7" s="15" t="s">
        <v>60</v>
      </c>
      <c r="Z7" s="15" t="s">
        <v>60</v>
      </c>
      <c r="AA7" s="15" t="s">
        <v>60</v>
      </c>
      <c r="AB7" s="15" t="s">
        <v>63</v>
      </c>
      <c r="AD7" s="15" t="s">
        <v>56</v>
      </c>
      <c r="AE7" s="15" t="s">
        <v>56</v>
      </c>
      <c r="AF7" s="15" t="s">
        <v>64</v>
      </c>
      <c r="AG7" s="15" t="s">
        <v>64</v>
      </c>
      <c r="AH7" s="15" t="s">
        <v>65</v>
      </c>
      <c r="AI7" s="15" t="s">
        <v>60</v>
      </c>
      <c r="AJ7" s="15"/>
      <c r="AK7" s="15"/>
      <c r="AL7" s="15" t="s">
        <v>66</v>
      </c>
      <c r="AM7" s="15" t="s">
        <v>60</v>
      </c>
      <c r="AN7" s="15" t="s">
        <v>51</v>
      </c>
      <c r="AO7" s="15" t="s">
        <v>52</v>
      </c>
    </row>
    <row r="8" spans="1:42">
      <c r="A8" s="15" t="s">
        <v>67</v>
      </c>
      <c r="B8" s="15">
        <v>2003</v>
      </c>
      <c r="C8" s="1" t="s">
        <v>68</v>
      </c>
    </row>
    <row r="9" spans="1:42">
      <c r="A9" s="1">
        <v>25</v>
      </c>
      <c r="B9">
        <v>150</v>
      </c>
      <c r="C9">
        <v>150</v>
      </c>
      <c r="D9">
        <v>2.89</v>
      </c>
      <c r="E9">
        <v>319.3</v>
      </c>
      <c r="F9">
        <v>200</v>
      </c>
      <c r="G9">
        <v>68.5</v>
      </c>
      <c r="H9" s="5">
        <f t="shared" ref="H9:H16" si="0">22*((G9+8)/10)^0.3</f>
        <v>40.506163499641971</v>
      </c>
      <c r="I9">
        <v>1100</v>
      </c>
      <c r="J9">
        <v>21.2</v>
      </c>
      <c r="K9">
        <v>21.2</v>
      </c>
      <c r="L9" s="4">
        <f>I9/B9</f>
        <v>7.333333333333333</v>
      </c>
      <c r="M9" s="7">
        <f>SQRT(U9/AI9)</f>
        <v>0.33866115790839629</v>
      </c>
      <c r="N9" s="7">
        <f>SQRT(U9/AM9)</f>
        <v>0.33866115790839629</v>
      </c>
      <c r="O9" s="5">
        <f>C9/D9</f>
        <v>51.903114186851212</v>
      </c>
      <c r="P9" s="4">
        <f>O9/(52*SQRT(235/E9))</f>
        <v>1.1634711018328845</v>
      </c>
      <c r="Q9">
        <v>1205</v>
      </c>
      <c r="S9" s="4">
        <f>Q9*J9/1000</f>
        <v>25.545999999999999</v>
      </c>
      <c r="T9" s="4">
        <f>K9*Q9/1000</f>
        <v>25.545999999999999</v>
      </c>
      <c r="U9" s="6">
        <f>(E9*AG9+G9*AF9)/1000</f>
        <v>1967.7583732799999</v>
      </c>
      <c r="V9" s="4">
        <f>Q9/U9</f>
        <v>0.61237193364926212</v>
      </c>
      <c r="W9" s="6">
        <f>AK9*U9</f>
        <v>1905.3457609792017</v>
      </c>
      <c r="X9" s="6">
        <f>AO9*U9</f>
        <v>1905.3457609792017</v>
      </c>
      <c r="Y9">
        <v>1244</v>
      </c>
      <c r="Z9">
        <v>1244</v>
      </c>
      <c r="AA9" s="6">
        <f>1/(AP9*((AP9/Y9)+(AP9/Z9)))</f>
        <v>767.90123456790116</v>
      </c>
      <c r="AB9" s="4">
        <f>Q9/(MIN(Y9,Z9,AA9))</f>
        <v>1.5692122186495179</v>
      </c>
      <c r="AD9">
        <f>B9-2*D9</f>
        <v>144.22</v>
      </c>
      <c r="AE9">
        <f>C9-2*D9</f>
        <v>144.22</v>
      </c>
      <c r="AF9">
        <f>AD9*AE9</f>
        <v>20799.4084</v>
      </c>
      <c r="AG9">
        <f>B9*C9-AF9</f>
        <v>1700.5915999999997</v>
      </c>
      <c r="AH9">
        <f>((C9*B9^3-AE9*AD9^3)*F9+(AE9*AD9^3)*H9*0.6)/12</f>
        <v>2103422989.0648916</v>
      </c>
      <c r="AI9" s="6">
        <f>(PI()^2*AH9)/(I9*I9)</f>
        <v>17156.985777047426</v>
      </c>
      <c r="AJ9">
        <f>0.5*(1+0.21*(M9-0.2)+M9*M9)</f>
        <v>0.57190511151830947</v>
      </c>
      <c r="AK9">
        <f>IF((1/(AJ9+SQRT(AJ9*AJ9-M9*M9)))&gt;1,1,1/(AJ9+SQRT(AJ9*AJ9-M9*M9)))</f>
        <v>0.96828238001764189</v>
      </c>
      <c r="AL9">
        <f>((B9*C9^3-AD9*AE9^3)*F9+(AD9*AE9^3)*H9*0.6)/12</f>
        <v>2103422989.0648916</v>
      </c>
      <c r="AM9">
        <f>(PI()^2*AL9)/(I9*I9)</f>
        <v>17156.985777047426</v>
      </c>
      <c r="AN9">
        <f>0.5*(1+0.21*(N9-0.2)+N9*N9)</f>
        <v>0.57190511151830947</v>
      </c>
      <c r="AO9">
        <f>IF((1/(AN9+SQRT(AN9*AN9-N9*N9)))&gt;1,1,1/(AN9+SQRT(AN9*AN9-N9*N9)))</f>
        <v>0.96828238001764189</v>
      </c>
      <c r="AP9">
        <f>IF(E9&lt;420,0.9,0.8)</f>
        <v>0.9</v>
      </c>
    </row>
    <row r="10" spans="1:42">
      <c r="A10" s="1">
        <v>26</v>
      </c>
      <c r="B10">
        <v>150</v>
      </c>
      <c r="C10">
        <v>150</v>
      </c>
      <c r="D10">
        <v>2.89</v>
      </c>
      <c r="E10">
        <v>319.3</v>
      </c>
      <c r="F10">
        <v>200</v>
      </c>
      <c r="G10">
        <v>68.5</v>
      </c>
      <c r="H10" s="5">
        <f t="shared" si="0"/>
        <v>40.506163499641971</v>
      </c>
      <c r="I10">
        <v>2200</v>
      </c>
      <c r="J10">
        <v>21.2</v>
      </c>
      <c r="K10">
        <v>21.2</v>
      </c>
      <c r="L10" s="4">
        <f t="shared" ref="L10:L16" si="1">I10/B10</f>
        <v>14.666666666666666</v>
      </c>
      <c r="M10" s="7">
        <f t="shared" ref="M10:M16" si="2">SQRT(U10/AI10)</f>
        <v>0.67732231581679259</v>
      </c>
      <c r="N10" s="7">
        <f>SQRT(U10/AM10)</f>
        <v>0.67732231581679259</v>
      </c>
      <c r="O10" s="5">
        <f t="shared" ref="O10:O16" si="3">C10/D10</f>
        <v>51.903114186851212</v>
      </c>
      <c r="P10" s="4">
        <f t="shared" ref="P10:P16" si="4">O10/(52*SQRT(235/E10))</f>
        <v>1.1634711018328845</v>
      </c>
      <c r="Q10">
        <v>911</v>
      </c>
      <c r="S10" s="4">
        <f>Q10*J10/1000</f>
        <v>19.313200000000002</v>
      </c>
      <c r="T10" s="4">
        <f>K10*Q10/1000</f>
        <v>19.313200000000002</v>
      </c>
      <c r="U10" s="6">
        <f>(E10*AG10+G10*AF10)/1000</f>
        <v>1967.7583732799999</v>
      </c>
      <c r="V10" s="4">
        <f t="shared" ref="V10:V16" si="5">Q10/U10</f>
        <v>0.46296334568836328</v>
      </c>
      <c r="W10" s="6">
        <f t="shared" ref="W10:W16" si="6">AK10*U10</f>
        <v>1688.5965425413276</v>
      </c>
      <c r="X10" s="6">
        <f t="shared" ref="X10:X16" si="7">AO10*U10</f>
        <v>1688.5965425413276</v>
      </c>
      <c r="Y10">
        <v>1031</v>
      </c>
      <c r="Z10">
        <v>1031</v>
      </c>
      <c r="AA10" s="6">
        <f>1/(AP10*((AP10/Y10)+(AP10/Z10)))</f>
        <v>636.41975308641975</v>
      </c>
      <c r="AB10" s="4">
        <f t="shared" ref="AB10:AB16" si="8">Q10/(MIN(Y10,Z10,AA10))</f>
        <v>1.4314451988360815</v>
      </c>
      <c r="AD10">
        <f t="shared" ref="AD10:AD16" si="9">B10-2*D10</f>
        <v>144.22</v>
      </c>
      <c r="AE10">
        <f t="shared" ref="AE10:AE16" si="10">C10-2*D10</f>
        <v>144.22</v>
      </c>
      <c r="AF10">
        <f t="shared" ref="AF10:AF16" si="11">AD10*AE10</f>
        <v>20799.4084</v>
      </c>
      <c r="AG10">
        <f>B10*C10-AF10</f>
        <v>1700.5915999999997</v>
      </c>
      <c r="AH10">
        <f t="shared" ref="AH10:AH16" si="12">((C10*B10^3-AE10*AD10^3)*F10+(AE10*AD10^3)*H10*0.6)/12</f>
        <v>2103422989.0648916</v>
      </c>
      <c r="AI10" s="6">
        <f>(PI()^2*AH10)/(I10*I10)</f>
        <v>4289.2464442618566</v>
      </c>
      <c r="AJ10">
        <f t="shared" ref="AJ10:AJ16" si="13">0.5*(1+0.21*(M10-0.2)+M10*M10)</f>
        <v>0.77950160291247461</v>
      </c>
      <c r="AK10">
        <f t="shared" ref="AK10:AK16" si="14">IF((1/(AJ10+SQRT(AJ10*AJ10-M10*M10)))&gt;1,1,1/(AJ10+SQRT(AJ10*AJ10-M10*M10)))</f>
        <v>0.85813205801617531</v>
      </c>
      <c r="AL10">
        <f>((B10*C10^3-AD10*AE10^3)*F10+(AD10*AE10^3)*H10*0.6)/12</f>
        <v>2103422989.0648916</v>
      </c>
      <c r="AM10">
        <f>(PI()^2*AL10)/(I10*I10)</f>
        <v>4289.2464442618566</v>
      </c>
      <c r="AN10">
        <f>0.5*(1+0.21*(N10-0.2)+N10*N10)</f>
        <v>0.77950160291247461</v>
      </c>
      <c r="AO10">
        <f>IF((1/(AN10+SQRT(AN10*AN10-N10*N10)))&gt;1,1,1/(AN10+SQRT(AN10*AN10-N10*N10)))</f>
        <v>0.85813205801617531</v>
      </c>
      <c r="AP10">
        <f t="shared" ref="AP10:AP16" si="15">IF(E10&lt;420,0.9,0.8)</f>
        <v>0.9</v>
      </c>
    </row>
    <row r="11" spans="1:42">
      <c r="A11" s="1"/>
      <c r="H11" s="5"/>
      <c r="L11" s="4"/>
      <c r="M11" s="7"/>
      <c r="N11" s="7"/>
      <c r="O11" s="5"/>
      <c r="P11" s="4"/>
      <c r="S11" s="4"/>
      <c r="T11" s="4"/>
      <c r="U11" s="6"/>
      <c r="V11" s="4"/>
      <c r="W11" s="6"/>
      <c r="X11" s="6"/>
      <c r="AA11" s="6"/>
      <c r="AB11" s="4"/>
      <c r="AI11" s="6"/>
    </row>
    <row r="12" spans="1:42">
      <c r="A12" s="15" t="s">
        <v>69</v>
      </c>
      <c r="B12" s="15">
        <v>1976</v>
      </c>
      <c r="C12" s="1" t="s">
        <v>70</v>
      </c>
      <c r="H12" s="5"/>
      <c r="L12" s="4"/>
      <c r="M12" s="7"/>
      <c r="N12" s="7"/>
      <c r="O12" s="5"/>
      <c r="P12" s="4"/>
      <c r="S12" s="4"/>
      <c r="T12" s="4"/>
      <c r="U12" s="6"/>
      <c r="V12" s="4"/>
      <c r="W12" s="6"/>
      <c r="X12" s="6"/>
      <c r="AA12" s="6"/>
      <c r="AB12" s="4"/>
      <c r="AI12" s="6"/>
    </row>
    <row r="13" spans="1:42">
      <c r="A13" s="1" t="s">
        <v>71</v>
      </c>
      <c r="B13">
        <v>203.05</v>
      </c>
      <c r="C13">
        <v>203.05</v>
      </c>
      <c r="D13">
        <v>10.029999999999999</v>
      </c>
      <c r="E13">
        <v>313</v>
      </c>
      <c r="F13">
        <v>200</v>
      </c>
      <c r="G13">
        <v>35.299999999999997</v>
      </c>
      <c r="H13" s="5">
        <f t="shared" si="0"/>
        <v>34.148296980115511</v>
      </c>
      <c r="I13">
        <v>2130</v>
      </c>
      <c r="J13">
        <v>19</v>
      </c>
      <c r="K13">
        <v>32.9</v>
      </c>
      <c r="L13" s="4">
        <f t="shared" si="1"/>
        <v>10.490027086924401</v>
      </c>
      <c r="M13" s="7">
        <f t="shared" si="2"/>
        <v>0.3787062217222486</v>
      </c>
      <c r="N13" s="7">
        <f>SQRT(U13/AM13)</f>
        <v>0.3787062217222486</v>
      </c>
      <c r="O13" s="5">
        <f t="shared" si="3"/>
        <v>20.244267198404788</v>
      </c>
      <c r="P13" s="4">
        <f t="shared" si="4"/>
        <v>0.44930055474254066</v>
      </c>
      <c r="Q13">
        <v>2180</v>
      </c>
      <c r="S13" s="4">
        <f>Q13*J13/1000</f>
        <v>41.42</v>
      </c>
      <c r="T13" s="4">
        <f>K13*Q13/1000</f>
        <v>71.721999999999994</v>
      </c>
      <c r="U13" s="6">
        <f>(E13*AG13+G13*AF13)/1000</f>
        <v>3605.8927367300012</v>
      </c>
      <c r="V13" s="4">
        <f t="shared" si="5"/>
        <v>0.60456595888011078</v>
      </c>
      <c r="W13" s="6">
        <f t="shared" si="6"/>
        <v>3455.5487597712149</v>
      </c>
      <c r="X13" s="6">
        <f t="shared" si="7"/>
        <v>3455.5487597712149</v>
      </c>
      <c r="Y13">
        <v>2202</v>
      </c>
      <c r="Z13">
        <v>2520</v>
      </c>
      <c r="AA13" s="6">
        <f t="shared" ref="AA13:AA23" si="16">1/(AP13*((AP13/Y13)+(AP13/Z13)))</f>
        <v>1450.7976845969222</v>
      </c>
      <c r="AB13" s="4">
        <f t="shared" si="8"/>
        <v>1.5026216426625145</v>
      </c>
      <c r="AD13">
        <f t="shared" si="9"/>
        <v>182.99</v>
      </c>
      <c r="AE13">
        <f t="shared" si="10"/>
        <v>182.99</v>
      </c>
      <c r="AF13">
        <f t="shared" si="11"/>
        <v>33485.340100000001</v>
      </c>
      <c r="AG13">
        <f>B13*C13-AF13</f>
        <v>7743.962400000004</v>
      </c>
      <c r="AH13">
        <f t="shared" si="12"/>
        <v>11557592686.065811</v>
      </c>
      <c r="AI13" s="6">
        <f>(PI()^2*AH13)/(I13*I13)</f>
        <v>25142.469007558753</v>
      </c>
      <c r="AJ13">
        <f t="shared" si="13"/>
        <v>0.59047335446640659</v>
      </c>
      <c r="AK13">
        <f t="shared" si="14"/>
        <v>0.95830603183856056</v>
      </c>
      <c r="AL13">
        <f>((B13*C13^3-AD13*AE13^3)*F13+(AD13*AE13^3)*H13*0.6)/12</f>
        <v>11557592686.065811</v>
      </c>
      <c r="AM13">
        <f>(PI()^2*AL13)/(I13*I13)</f>
        <v>25142.469007558753</v>
      </c>
      <c r="AN13">
        <f>0.5*(1+0.21*(N13-0.2)+N13*N13)</f>
        <v>0.59047335446640659</v>
      </c>
      <c r="AO13">
        <f>IF((1/(AN13+SQRT(AN13*AN13-N13*N13)))&gt;1,1,1/(AN13+SQRT(AN13*AN13-N13*N13)))</f>
        <v>0.95830603183856056</v>
      </c>
      <c r="AP13">
        <f t="shared" si="15"/>
        <v>0.9</v>
      </c>
    </row>
    <row r="14" spans="1:42">
      <c r="A14" s="1" t="s">
        <v>72</v>
      </c>
      <c r="B14">
        <v>203.1</v>
      </c>
      <c r="C14">
        <v>203.1</v>
      </c>
      <c r="D14">
        <v>9.8800000000000008</v>
      </c>
      <c r="E14">
        <v>317</v>
      </c>
      <c r="F14">
        <v>200</v>
      </c>
      <c r="G14">
        <v>37.299999999999997</v>
      </c>
      <c r="H14" s="5">
        <f t="shared" si="0"/>
        <v>34.614028061719331</v>
      </c>
      <c r="I14">
        <v>2130</v>
      </c>
      <c r="J14">
        <v>26.9</v>
      </c>
      <c r="K14">
        <v>26.9</v>
      </c>
      <c r="L14" s="4">
        <f t="shared" si="1"/>
        <v>10.487444608567209</v>
      </c>
      <c r="M14" s="7">
        <f t="shared" si="2"/>
        <v>0.38352512328232141</v>
      </c>
      <c r="N14" s="7">
        <f>SQRT(U14/AM14)</f>
        <v>0.38352512328232141</v>
      </c>
      <c r="O14" s="5">
        <f t="shared" si="3"/>
        <v>20.556680161943319</v>
      </c>
      <c r="P14" s="4">
        <f t="shared" si="4"/>
        <v>0.45914021701092289</v>
      </c>
      <c r="Q14">
        <v>2162</v>
      </c>
      <c r="S14" s="4">
        <f>Q14*J14/1000</f>
        <v>58.157799999999995</v>
      </c>
      <c r="T14" s="4">
        <f>K14*Q14/1000</f>
        <v>58.157799999999995</v>
      </c>
      <c r="U14" s="6">
        <f>(E14*AG14+G14*AF14)/1000</f>
        <v>3674.4148686800004</v>
      </c>
      <c r="V14" s="4">
        <f t="shared" si="5"/>
        <v>0.58839300331284539</v>
      </c>
      <c r="W14" s="6">
        <f t="shared" si="6"/>
        <v>3516.6751103563238</v>
      </c>
      <c r="X14" s="6">
        <f t="shared" si="7"/>
        <v>3516.6751103563238</v>
      </c>
      <c r="Y14">
        <v>2382</v>
      </c>
      <c r="Z14">
        <v>2382</v>
      </c>
      <c r="AA14" s="6">
        <f t="shared" si="16"/>
        <v>1470.3703703703702</v>
      </c>
      <c r="AB14" s="4">
        <f t="shared" si="8"/>
        <v>1.4703778337531488</v>
      </c>
      <c r="AD14">
        <f t="shared" si="9"/>
        <v>183.34</v>
      </c>
      <c r="AE14">
        <f t="shared" si="10"/>
        <v>183.34</v>
      </c>
      <c r="AF14">
        <f t="shared" si="11"/>
        <v>33613.5556</v>
      </c>
      <c r="AG14">
        <f>B14*C14-AF14</f>
        <v>7636.0544000000009</v>
      </c>
      <c r="AH14">
        <f t="shared" si="12"/>
        <v>11483122950.78237</v>
      </c>
      <c r="AI14" s="6">
        <f>(PI()^2*AH14)/(I14*I14)</f>
        <v>24980.467017851814</v>
      </c>
      <c r="AJ14">
        <f t="shared" si="13"/>
        <v>0.5928158980390037</v>
      </c>
      <c r="AK14">
        <f t="shared" si="14"/>
        <v>0.95707078161798775</v>
      </c>
      <c r="AL14">
        <f>((B14*C14^3-AD14*AE14^3)*F14+(AD14*AE14^3)*H14*0.6)/12</f>
        <v>11483122950.78237</v>
      </c>
      <c r="AM14">
        <f>(PI()^2*AL14)/(I14*I14)</f>
        <v>24980.467017851814</v>
      </c>
      <c r="AN14">
        <f>0.5*(1+0.21*(N14-0.2)+N14*N14)</f>
        <v>0.5928158980390037</v>
      </c>
      <c r="AO14">
        <f>IF((1/(AN14+SQRT(AN14*AN14-N14*N14)))&gt;1,1,1/(AN14+SQRT(AN14*AN14-N14*N14)))</f>
        <v>0.95707078161798775</v>
      </c>
      <c r="AP14">
        <f t="shared" si="15"/>
        <v>0.9</v>
      </c>
    </row>
    <row r="15" spans="1:42">
      <c r="A15" s="1" t="s">
        <v>73</v>
      </c>
      <c r="B15">
        <v>202.65</v>
      </c>
      <c r="C15">
        <v>202.9</v>
      </c>
      <c r="D15">
        <v>10.01</v>
      </c>
      <c r="E15">
        <v>319</v>
      </c>
      <c r="F15">
        <v>200</v>
      </c>
      <c r="G15">
        <v>42.1</v>
      </c>
      <c r="H15" s="5">
        <f t="shared" si="0"/>
        <v>35.675822836398801</v>
      </c>
      <c r="I15">
        <v>3050</v>
      </c>
      <c r="J15">
        <v>19</v>
      </c>
      <c r="K15">
        <v>32.9</v>
      </c>
      <c r="L15" s="4">
        <f t="shared" si="1"/>
        <v>15.050579817419194</v>
      </c>
      <c r="M15" s="7">
        <f t="shared" si="2"/>
        <v>0.56151469607654447</v>
      </c>
      <c r="N15" s="7">
        <f>SQRT(U15/AM15)</f>
        <v>0.56093147920802666</v>
      </c>
      <c r="O15" s="5">
        <f t="shared" si="3"/>
        <v>20.269730269730271</v>
      </c>
      <c r="P15" s="4">
        <f t="shared" si="4"/>
        <v>0.4541570249725449</v>
      </c>
      <c r="Q15">
        <v>2037</v>
      </c>
      <c r="S15" s="4">
        <f>Q15*J15/1000</f>
        <v>38.703000000000003</v>
      </c>
      <c r="T15" s="4">
        <f>K15*Q15/1000</f>
        <v>67.017300000000006</v>
      </c>
      <c r="U15" s="6">
        <f>(E15*AG15+G15*AF15)/1000</f>
        <v>3868.2547436400014</v>
      </c>
      <c r="V15" s="4">
        <f t="shared" si="5"/>
        <v>0.52659406760869032</v>
      </c>
      <c r="W15" s="6">
        <f t="shared" si="6"/>
        <v>3496.9360315627287</v>
      </c>
      <c r="X15" s="6">
        <f t="shared" si="7"/>
        <v>3497.7248778996527</v>
      </c>
      <c r="Y15">
        <v>2210</v>
      </c>
      <c r="Z15">
        <v>2527</v>
      </c>
      <c r="AA15" s="6">
        <f t="shared" si="16"/>
        <v>1455.4896181101235</v>
      </c>
      <c r="AB15" s="4">
        <f t="shared" si="8"/>
        <v>1.3995290482696381</v>
      </c>
      <c r="AD15">
        <f t="shared" si="9"/>
        <v>182.63</v>
      </c>
      <c r="AE15">
        <f t="shared" si="10"/>
        <v>182.88</v>
      </c>
      <c r="AF15">
        <f t="shared" si="11"/>
        <v>33399.374400000001</v>
      </c>
      <c r="AG15">
        <f>B15*C15-AF15</f>
        <v>7718.3106000000043</v>
      </c>
      <c r="AH15">
        <f t="shared" si="12"/>
        <v>11563591619.815178</v>
      </c>
      <c r="AI15" s="6">
        <f>(PI()^2*AH15)/(I15*I15)</f>
        <v>12268.537999820252</v>
      </c>
      <c r="AJ15">
        <f t="shared" si="13"/>
        <v>0.69560842004300427</v>
      </c>
      <c r="AK15">
        <f t="shared" si="14"/>
        <v>0.90400872313598857</v>
      </c>
      <c r="AL15">
        <f>((B15*C15^3-AD15*AE15^3)*F15+(AD15*AE15^3)*H15*0.6)/12</f>
        <v>11587650129.465483</v>
      </c>
      <c r="AM15">
        <f>(PI()^2*AL15)/(I15*I15)</f>
        <v>12294.063178291448</v>
      </c>
      <c r="AN15">
        <f>0.5*(1+0.21*(N15-0.2)+N15*N15)</f>
        <v>0.69521986750009523</v>
      </c>
      <c r="AO15">
        <f>IF((1/(AN15+SQRT(AN15*AN15-N15*N15)))&gt;1,1,1/(AN15+SQRT(AN15*AN15-N15*N15)))</f>
        <v>0.90421265136440254</v>
      </c>
      <c r="AP15">
        <f t="shared" si="15"/>
        <v>0.9</v>
      </c>
    </row>
    <row r="16" spans="1:42">
      <c r="A16" s="1" t="s">
        <v>74</v>
      </c>
      <c r="B16">
        <v>202.65</v>
      </c>
      <c r="C16">
        <v>202.65</v>
      </c>
      <c r="D16">
        <v>9.7799999999999994</v>
      </c>
      <c r="E16">
        <v>317</v>
      </c>
      <c r="F16">
        <v>200</v>
      </c>
      <c r="G16">
        <v>34.4</v>
      </c>
      <c r="H16" s="5">
        <f t="shared" si="0"/>
        <v>33.933795463795462</v>
      </c>
      <c r="I16">
        <v>3050</v>
      </c>
      <c r="J16">
        <v>45.3</v>
      </c>
      <c r="K16">
        <v>45.3</v>
      </c>
      <c r="L16" s="4">
        <f t="shared" si="1"/>
        <v>15.050579817419194</v>
      </c>
      <c r="M16" s="7">
        <f t="shared" si="2"/>
        <v>0.54410106718137696</v>
      </c>
      <c r="N16" s="7">
        <f>SQRT(U16/AM16)</f>
        <v>0.54410106718137696</v>
      </c>
      <c r="O16" s="5">
        <f t="shared" si="3"/>
        <v>20.720858895705522</v>
      </c>
      <c r="P16" s="4">
        <f t="shared" si="4"/>
        <v>0.4628072030638416</v>
      </c>
      <c r="Q16">
        <v>1623</v>
      </c>
      <c r="S16" s="4">
        <f>Q16*J16/1000</f>
        <v>73.521899999999988</v>
      </c>
      <c r="T16" s="4">
        <f>K16*Q16/1000</f>
        <v>73.521899999999988</v>
      </c>
      <c r="U16" s="6">
        <f>(E16*AG16+G16*AF16)/1000</f>
        <v>3544.9435994399992</v>
      </c>
      <c r="V16" s="4">
        <f t="shared" si="5"/>
        <v>0.45783521076509881</v>
      </c>
      <c r="W16" s="6">
        <f t="shared" si="6"/>
        <v>3225.8820983789415</v>
      </c>
      <c r="X16" s="6">
        <f t="shared" si="7"/>
        <v>3225.8820983789415</v>
      </c>
      <c r="Y16">
        <v>1841</v>
      </c>
      <c r="Z16">
        <v>1841</v>
      </c>
      <c r="AA16" s="6">
        <f t="shared" si="16"/>
        <v>1136.4197530864196</v>
      </c>
      <c r="AB16" s="4">
        <f t="shared" si="8"/>
        <v>1.428169473112439</v>
      </c>
      <c r="AD16">
        <f t="shared" si="9"/>
        <v>183.09</v>
      </c>
      <c r="AE16">
        <f t="shared" si="10"/>
        <v>183.09</v>
      </c>
      <c r="AF16">
        <f t="shared" si="11"/>
        <v>33521.948100000001</v>
      </c>
      <c r="AG16">
        <f>B16*C16-AF16</f>
        <v>7545.0743999999977</v>
      </c>
      <c r="AH16">
        <f t="shared" si="12"/>
        <v>11286261479.389963</v>
      </c>
      <c r="AI16" s="6">
        <f>(PI()^2*AH16)/(I16*I16)</f>
        <v>11974.301098503895</v>
      </c>
      <c r="AJ16">
        <f t="shared" si="13"/>
        <v>0.68415359770800122</v>
      </c>
      <c r="AK16">
        <f t="shared" si="14"/>
        <v>0.90999532373054948</v>
      </c>
      <c r="AL16">
        <f>((B16*C16^3-AD16*AE16^3)*F16+(AD16*AE16^3)*H16*0.6)/12</f>
        <v>11286261479.389963</v>
      </c>
      <c r="AM16">
        <f>(PI()^2*AL16)/(I16*I16)</f>
        <v>11974.301098503895</v>
      </c>
      <c r="AN16">
        <f>0.5*(1+0.21*(N16-0.2)+N16*N16)</f>
        <v>0.68415359770800122</v>
      </c>
      <c r="AO16">
        <f>IF((1/(AN16+SQRT(AN16*AN16-N16*N16)))&gt;1,1,1/(AN16+SQRT(AN16*AN16-N16*N16)))</f>
        <v>0.90999532373054948</v>
      </c>
      <c r="AP16">
        <f t="shared" si="15"/>
        <v>0.9</v>
      </c>
    </row>
    <row r="17" spans="1:42">
      <c r="O17" t="s">
        <v>75</v>
      </c>
      <c r="P17" s="6">
        <f>COUNTIF(P9:P16,"&gt;1")</f>
        <v>2</v>
      </c>
      <c r="Q17" s="4">
        <f t="array" ref="Q17">AVERAGE(IF(P9:P16 &gt;1,AB9:AB16))</f>
        <v>1.5003287087427997</v>
      </c>
      <c r="AA17" s="6"/>
    </row>
    <row r="18" spans="1:42">
      <c r="A18" s="15" t="s">
        <v>76</v>
      </c>
      <c r="B18" s="15">
        <v>2007</v>
      </c>
      <c r="C18" s="14" t="s">
        <v>77</v>
      </c>
      <c r="F18" s="15" t="s">
        <v>78</v>
      </c>
      <c r="G18" s="15" t="s">
        <v>78</v>
      </c>
      <c r="H18" s="15" t="s">
        <v>78</v>
      </c>
      <c r="AA18" s="6"/>
    </row>
    <row r="19" spans="1:42">
      <c r="A19" s="1" t="s">
        <v>79</v>
      </c>
      <c r="B19">
        <v>149.6</v>
      </c>
      <c r="C19">
        <v>149.6</v>
      </c>
      <c r="D19" s="4">
        <v>3.66</v>
      </c>
      <c r="E19">
        <v>289</v>
      </c>
      <c r="F19">
        <v>200</v>
      </c>
      <c r="G19">
        <v>44</v>
      </c>
      <c r="H19" s="5">
        <f>(22*((G19+8)/10)^0.3)</f>
        <v>36.076440733482187</v>
      </c>
      <c r="I19">
        <v>1350</v>
      </c>
      <c r="J19">
        <v>21.2</v>
      </c>
      <c r="K19">
        <v>21.2</v>
      </c>
      <c r="L19" s="4">
        <f>I19/B19</f>
        <v>9.0240641711229959</v>
      </c>
      <c r="M19" s="7">
        <f>SQRT(U19/AI19)</f>
        <v>0.35127216890384749</v>
      </c>
      <c r="N19" s="7">
        <f>SQRT(U19/AM19)</f>
        <v>0.35127216890384749</v>
      </c>
      <c r="O19" s="5">
        <f>C19/D19</f>
        <v>40.874316939890704</v>
      </c>
      <c r="P19" s="4">
        <f>O19/(52*SQRT(235/E19))</f>
        <v>0.87169018252916874</v>
      </c>
      <c r="Q19">
        <v>974</v>
      </c>
      <c r="S19" s="4">
        <f>Q19*J19/1000</f>
        <v>20.648799999999998</v>
      </c>
      <c r="T19" s="4">
        <f>K19*Q19/1000</f>
        <v>20.648799999999998</v>
      </c>
      <c r="U19" s="6">
        <f>(E19*AG19+G19*AF19)/1000</f>
        <v>1508.1846320000002</v>
      </c>
      <c r="V19" s="4">
        <f>Q19/U19</f>
        <v>0.64580952446676299</v>
      </c>
      <c r="W19" s="6">
        <f>AK19*U19</f>
        <v>1455.6894908759293</v>
      </c>
      <c r="X19" s="6">
        <f>AO19*U19</f>
        <v>1455.6894908759293</v>
      </c>
      <c r="Y19">
        <v>964</v>
      </c>
      <c r="Z19">
        <v>964</v>
      </c>
      <c r="AA19" s="6">
        <f t="shared" si="16"/>
        <v>595.06172839506166</v>
      </c>
      <c r="AB19" s="4">
        <f>Q19/(MIN(Y19,Z19,AA19))</f>
        <v>1.6368049792531123</v>
      </c>
      <c r="AD19">
        <f>B19-2*D19</f>
        <v>142.28</v>
      </c>
      <c r="AE19">
        <f>C19-2*D19</f>
        <v>142.28</v>
      </c>
      <c r="AF19">
        <f>AD19*AE19</f>
        <v>20243.598399999999</v>
      </c>
      <c r="AG19">
        <f>B19*C19-AF19</f>
        <v>2136.5616000000009</v>
      </c>
      <c r="AH19">
        <f>((C19*B19^3-AE19*AD19^3)*F19+(AE19*AD19^3)*H19*0.6)/12</f>
        <v>2257016937.6942234</v>
      </c>
      <c r="AI19" s="6">
        <f>(PI()^2*AH19)/(I19*I19)</f>
        <v>12222.696461783336</v>
      </c>
      <c r="AJ19">
        <f>0.5*(1+0.21*(M19-0.2)+M19*M19)</f>
        <v>0.57757964605811063</v>
      </c>
      <c r="AK19">
        <f>IF((1/(AJ19+SQRT(AJ19*AJ19-M19*M19)))&gt;1,1,1/(AJ19+SQRT(AJ19*AJ19-M19*M19)))</f>
        <v>0.96519316003475175</v>
      </c>
      <c r="AL19">
        <f>((B19*C19^3-AD19*AE19^3)*F19+(AD19*AE19^3)*H19*0.6)/12</f>
        <v>2257016937.6942234</v>
      </c>
      <c r="AM19">
        <f>(PI()^2*AL19)/(I19*I19)</f>
        <v>12222.696461783336</v>
      </c>
      <c r="AN19">
        <f>0.5*(1+0.21*(N19-0.2)+N19*N19)</f>
        <v>0.57757964605811063</v>
      </c>
      <c r="AO19">
        <f>IF((1/(AN19+SQRT(AN19*AN19-N19*N19)))&gt;1,1,1/(AN19+SQRT(AN19*AN19-N19*N19)))</f>
        <v>0.96519316003475175</v>
      </c>
      <c r="AP19">
        <f>IF(E19&lt;420,0.9,0.8)</f>
        <v>0.9</v>
      </c>
    </row>
    <row r="20" spans="1:42">
      <c r="A20" s="1" t="s">
        <v>80</v>
      </c>
      <c r="B20">
        <v>149.6</v>
      </c>
      <c r="C20">
        <v>149.6</v>
      </c>
      <c r="D20" s="4">
        <v>3.66</v>
      </c>
      <c r="E20">
        <v>289</v>
      </c>
      <c r="F20">
        <v>200</v>
      </c>
      <c r="G20">
        <v>44</v>
      </c>
      <c r="H20" s="5">
        <f>(22*((G20+8)/10)^0.3)</f>
        <v>36.076440733482187</v>
      </c>
      <c r="I20">
        <v>1350</v>
      </c>
      <c r="J20">
        <v>12.3</v>
      </c>
      <c r="K20">
        <v>38.299999999999997</v>
      </c>
      <c r="L20" s="4">
        <f>I20/B20</f>
        <v>9.0240641711229959</v>
      </c>
      <c r="M20" s="7">
        <f>SQRT(U20/AI20)</f>
        <v>0.35127216890384749</v>
      </c>
      <c r="N20" s="7">
        <f>SQRT(U20/AM20)</f>
        <v>0.35127216890384749</v>
      </c>
      <c r="O20" s="5">
        <f>C20/D20</f>
        <v>40.874316939890704</v>
      </c>
      <c r="P20" s="4">
        <f>O20/(52*SQRT(235/E20))</f>
        <v>0.87169018252916874</v>
      </c>
      <c r="Q20">
        <v>902</v>
      </c>
      <c r="S20" s="4">
        <f>Q20*J20/1000</f>
        <v>11.0946</v>
      </c>
      <c r="T20" s="4">
        <f>K20*Q20/1000</f>
        <v>34.546599999999998</v>
      </c>
      <c r="U20" s="6">
        <f>(E20*AG20+G20*AF20)/1000</f>
        <v>1508.1846320000002</v>
      </c>
      <c r="V20" s="4">
        <f>Q20/U20</f>
        <v>0.59807001136449711</v>
      </c>
      <c r="W20" s="6">
        <f>AK20*U20</f>
        <v>1455.6894908759293</v>
      </c>
      <c r="X20" s="6">
        <f>AO20*U20</f>
        <v>1455.6894908759293</v>
      </c>
      <c r="Y20">
        <v>1085</v>
      </c>
      <c r="Z20">
        <v>761</v>
      </c>
      <c r="AA20" s="6">
        <f t="shared" si="16"/>
        <v>552.20162379786791</v>
      </c>
      <c r="AB20" s="4">
        <f>Q20/(MIN(Y20,Z20,AA20))</f>
        <v>1.6334613321060696</v>
      </c>
      <c r="AD20">
        <f>B20-2*D20</f>
        <v>142.28</v>
      </c>
      <c r="AE20">
        <f>C20-2*D20</f>
        <v>142.28</v>
      </c>
      <c r="AF20">
        <f>AD20*AE20</f>
        <v>20243.598399999999</v>
      </c>
      <c r="AG20">
        <f>B20*C20-AF20</f>
        <v>2136.5616000000009</v>
      </c>
      <c r="AH20">
        <f>((C20*B20^3-AE20*AD20^3)*F20+(AE20*AD20^3)*H20*0.6)/12</f>
        <v>2257016937.6942234</v>
      </c>
      <c r="AI20" s="6">
        <f>(PI()^2*AH20)/(I20*I20)</f>
        <v>12222.696461783336</v>
      </c>
      <c r="AJ20">
        <f>0.5*(1+0.21*(M20-0.2)+M20*M20)</f>
        <v>0.57757964605811063</v>
      </c>
      <c r="AK20">
        <f>IF((1/(AJ20+SQRT(AJ20*AJ20-M20*M20)))&gt;1,1,1/(AJ20+SQRT(AJ20*AJ20-M20*M20)))</f>
        <v>0.96519316003475175</v>
      </c>
      <c r="AL20">
        <f>((B20*C20^3-AD20*AE20^3)*F20+(AD20*AE20^3)*H20*0.6)/12</f>
        <v>2257016937.6942234</v>
      </c>
      <c r="AM20">
        <f>(PI()^2*AL20)/(I20*I20)</f>
        <v>12222.696461783336</v>
      </c>
      <c r="AN20">
        <f>0.5*(1+0.21*(N20-0.2)+N20*N20)</f>
        <v>0.57757964605811063</v>
      </c>
      <c r="AO20">
        <f>IF((1/(AN20+SQRT(AN20*AN20-N20*N20)))&gt;1,1,1/(AN20+SQRT(AN20*AN20-N20*N20)))</f>
        <v>0.96519316003475175</v>
      </c>
      <c r="AP20">
        <f>IF(E20&lt;420,0.9,0.8)</f>
        <v>0.9</v>
      </c>
    </row>
    <row r="21" spans="1:42">
      <c r="A21" s="1" t="s">
        <v>81</v>
      </c>
      <c r="B21">
        <v>99.8</v>
      </c>
      <c r="C21">
        <v>198.5</v>
      </c>
      <c r="D21" s="4">
        <v>3.63</v>
      </c>
      <c r="E21">
        <v>289</v>
      </c>
      <c r="F21">
        <v>200</v>
      </c>
      <c r="G21">
        <v>44</v>
      </c>
      <c r="H21" s="5">
        <f>(22*((G21+8)/10)^0.3)</f>
        <v>36.076440733482187</v>
      </c>
      <c r="I21">
        <v>1800</v>
      </c>
      <c r="J21">
        <v>30</v>
      </c>
      <c r="K21">
        <v>30</v>
      </c>
      <c r="L21" s="4">
        <f>I21/B21</f>
        <v>18.036072144288578</v>
      </c>
      <c r="M21" s="7">
        <f>SQRT(U21/AI21)</f>
        <v>0.66350585567543974</v>
      </c>
      <c r="N21" s="7">
        <f>SQRT(U21/AM21)</f>
        <v>0.36681402598094442</v>
      </c>
      <c r="O21" s="5">
        <f>C21/D21</f>
        <v>54.683195592286502</v>
      </c>
      <c r="P21" s="4">
        <f>O21/(52*SQRT(235/E21))</f>
        <v>1.1661798487597164</v>
      </c>
      <c r="Q21">
        <v>632</v>
      </c>
      <c r="S21" s="4">
        <f>Q21*J21/1000</f>
        <v>18.96</v>
      </c>
      <c r="T21" s="4">
        <f>K21*Q21/1000</f>
        <v>18.96</v>
      </c>
      <c r="U21" s="6">
        <f>(E21*AG21+G21*AF21)/1000</f>
        <v>1389.3260480000004</v>
      </c>
      <c r="V21" s="4">
        <f>Q21/U21</f>
        <v>0.45489681915184232</v>
      </c>
      <c r="W21" s="6">
        <f>AK21*U21</f>
        <v>1200.6845206059538</v>
      </c>
      <c r="X21" s="6">
        <f>AO21*U21</f>
        <v>1335.5882425291297</v>
      </c>
      <c r="Y21">
        <v>561</v>
      </c>
      <c r="Z21">
        <v>782</v>
      </c>
      <c r="AA21" s="6">
        <f t="shared" si="16"/>
        <v>403.28176277543361</v>
      </c>
      <c r="AB21" s="4">
        <f>Q21/(MIN(Y21,Z21,AA21))</f>
        <v>1.5671425249941877</v>
      </c>
      <c r="AD21">
        <f>B21-2*D21</f>
        <v>92.539999999999992</v>
      </c>
      <c r="AE21">
        <f>C21-2*D21</f>
        <v>191.24</v>
      </c>
      <c r="AF21">
        <f>AD21*AE21</f>
        <v>17697.349599999998</v>
      </c>
      <c r="AG21">
        <f>B21*C21-AF21</f>
        <v>2112.9504000000015</v>
      </c>
      <c r="AH21">
        <f>((C21*B21^3-AE21*AD21^3)*F21+(AE21*AD21^3)*H21*0.6)/12</f>
        <v>1036000399.7977127</v>
      </c>
      <c r="AI21" s="6">
        <f>(PI()^2*AH21)/(I21*I21)</f>
        <v>3155.8376868437781</v>
      </c>
      <c r="AJ21">
        <f>0.5*(1+0.21*(M21-0.2)+M21*M21)</f>
        <v>0.76878812510371985</v>
      </c>
      <c r="AK21">
        <f>IF((1/(AJ21+SQRT(AJ21*AJ21-M21*M21)))&gt;1,1,1/(AJ21+SQRT(AJ21*AJ21-M21*M21)))</f>
        <v>0.86422083738687194</v>
      </c>
      <c r="AL21">
        <f>((B21*C21^3-AD21*AE21^3)*F21+(AD21*AE21^3)*H21*0.6)/12</f>
        <v>3389671219.3072572</v>
      </c>
      <c r="AM21">
        <f>(PI()^2*AL21)/(I21*I21)</f>
        <v>10325.529007506431</v>
      </c>
      <c r="AN21">
        <f>0.5*(1+0.21*(N21-0.2)+N21*N21)</f>
        <v>0.58479173755617364</v>
      </c>
      <c r="AO21">
        <f>IF((1/(AN21+SQRT(AN21*AN21-N21*N21)))&gt;1,1,1/(AN21+SQRT(AN21*AN21-N21*N21)))</f>
        <v>0.96132095446693111</v>
      </c>
      <c r="AP21">
        <f>IF(E21&lt;420,0.9,0.8)</f>
        <v>0.9</v>
      </c>
    </row>
    <row r="22" spans="1:42">
      <c r="A22" s="1" t="s">
        <v>82</v>
      </c>
      <c r="B22">
        <v>100.6</v>
      </c>
      <c r="C22">
        <v>200.4</v>
      </c>
      <c r="D22" s="4">
        <v>3.6</v>
      </c>
      <c r="E22">
        <v>289</v>
      </c>
      <c r="F22">
        <v>200</v>
      </c>
      <c r="G22">
        <v>44</v>
      </c>
      <c r="H22" s="5">
        <f>(22*((G22+8)/10)^0.3)</f>
        <v>36.076440733482187</v>
      </c>
      <c r="I22">
        <v>1800</v>
      </c>
      <c r="J22">
        <v>40</v>
      </c>
      <c r="K22">
        <v>20</v>
      </c>
      <c r="L22" s="4">
        <f>I22/B22</f>
        <v>17.892644135188867</v>
      </c>
      <c r="M22" s="7">
        <f>SQRT(U22/AI22)</f>
        <v>0.65945438592953154</v>
      </c>
      <c r="N22" s="7">
        <f>SQRT(U22/AM22)</f>
        <v>0.36393487672283192</v>
      </c>
      <c r="O22" s="5">
        <f>C22/D22</f>
        <v>55.666666666666664</v>
      </c>
      <c r="P22" s="4">
        <f>O22/(52*SQRT(235/E22))</f>
        <v>1.187153461153027</v>
      </c>
      <c r="Q22">
        <v>692</v>
      </c>
      <c r="S22" s="4">
        <f>Q22*J22/1000</f>
        <v>27.68</v>
      </c>
      <c r="T22" s="4">
        <f>K22*Q22/1000</f>
        <v>13.84</v>
      </c>
      <c r="U22" s="6">
        <f>(E22*AG22+G22*AF22)/1000</f>
        <v>1405.3137599999993</v>
      </c>
      <c r="V22" s="4">
        <f>Q22/U22</f>
        <v>0.49241672550050342</v>
      </c>
      <c r="W22" s="6">
        <f>AK22*U22</f>
        <v>1216.9627090072859</v>
      </c>
      <c r="X22" s="6">
        <f>AO22*U22</f>
        <v>1351.9736026843034</v>
      </c>
      <c r="Y22">
        <v>700</v>
      </c>
      <c r="Z22">
        <v>711</v>
      </c>
      <c r="AA22" s="6">
        <f t="shared" si="16"/>
        <v>435.46735963461686</v>
      </c>
      <c r="AB22" s="4">
        <f>Q22/(MIN(Y22,Z22,AA22))</f>
        <v>1.5890972875226042</v>
      </c>
      <c r="AD22">
        <f>B22-2*D22</f>
        <v>93.399999999999991</v>
      </c>
      <c r="AE22">
        <f>C22-2*D22</f>
        <v>193.20000000000002</v>
      </c>
      <c r="AF22">
        <f>AD22*AE22</f>
        <v>18044.88</v>
      </c>
      <c r="AG22">
        <f>B22*C22-AF22</f>
        <v>2115.3599999999969</v>
      </c>
      <c r="AH22">
        <f>((C22*B22^3-AE22*AD22^3)*F22+(AE22*AD22^3)*H22*0.6)/12</f>
        <v>1060837934.8019873</v>
      </c>
      <c r="AI22" s="6">
        <f>(PI()^2*AH22)/(I22*I22)</f>
        <v>3231.4971451124197</v>
      </c>
      <c r="AJ22">
        <f>0.5*(1+0.21*(M22-0.2)+M22*M22)</f>
        <v>0.76568275408344855</v>
      </c>
      <c r="AK22">
        <f>IF((1/(AJ22+SQRT(AJ22*AJ22-M22*M22)))&gt;1,1,1/(AJ22+SQRT(AJ22*AJ22-M22*M22)))</f>
        <v>0.86597224310056309</v>
      </c>
      <c r="AL22">
        <f>((B22*C22^3-AD22*AE22^3)*F22+(AD22*AE22^3)*H22*0.6)/12</f>
        <v>3483142235.4216666</v>
      </c>
      <c r="AM22">
        <f>(PI()^2*AL22)/(I22*I22)</f>
        <v>10610.258005042564</v>
      </c>
      <c r="AN22">
        <f>0.5*(1+0.21*(N22-0.2)+N22*N22)</f>
        <v>0.58343745930352886</v>
      </c>
      <c r="AO22">
        <f>IF((1/(AN22+SQRT(AN22*AN22-N22*N22)))&gt;1,1,1/(AN22+SQRT(AN22*AN22-N22*N22)))</f>
        <v>0.96204395144064059</v>
      </c>
      <c r="AP22">
        <f>IF(E22&lt;420,0.9,0.8)</f>
        <v>0.9</v>
      </c>
    </row>
    <row r="23" spans="1:42">
      <c r="A23" s="1" t="s">
        <v>83</v>
      </c>
      <c r="B23">
        <v>99.6</v>
      </c>
      <c r="C23">
        <v>200.5</v>
      </c>
      <c r="D23" s="4">
        <v>3.6</v>
      </c>
      <c r="E23">
        <v>289</v>
      </c>
      <c r="F23">
        <v>200</v>
      </c>
      <c r="G23">
        <v>44</v>
      </c>
      <c r="H23" s="5">
        <f>(22*((G23+8)/10)^0.3)</f>
        <v>36.076440733482187</v>
      </c>
      <c r="I23">
        <v>1800</v>
      </c>
      <c r="J23">
        <v>12.5</v>
      </c>
      <c r="K23">
        <v>32.5</v>
      </c>
      <c r="L23" s="4">
        <f>I23/B23</f>
        <v>18.072289156626507</v>
      </c>
      <c r="M23" s="7">
        <f>SQRT(U23/AI23)</f>
        <v>0.66518027288518222</v>
      </c>
      <c r="N23" s="7">
        <f>SQRT(U23/AM23)</f>
        <v>0.36381000626230631</v>
      </c>
      <c r="O23" s="5">
        <f>C23/D23</f>
        <v>55.694444444444443</v>
      </c>
      <c r="P23" s="4">
        <f>O23/(52*SQRT(235/E23))</f>
        <v>1.1877458530997103</v>
      </c>
      <c r="Q23">
        <v>637</v>
      </c>
      <c r="S23" s="4">
        <f>Q23*J23/1000</f>
        <v>7.9625000000000004</v>
      </c>
      <c r="T23" s="4">
        <f>K23*Q23/1000</f>
        <v>20.702500000000001</v>
      </c>
      <c r="U23" s="6">
        <f>(E23*AG23+G23*AF23)/1000</f>
        <v>1395.3468000000003</v>
      </c>
      <c r="V23" s="4">
        <f>Q23/U23</f>
        <v>0.45651733318197302</v>
      </c>
      <c r="W23" s="6">
        <f>AK23*U23</f>
        <v>1204.8715424936004</v>
      </c>
      <c r="X23" s="6">
        <f>AO23*U23</f>
        <v>1342.428619618687</v>
      </c>
      <c r="Y23">
        <v>533</v>
      </c>
      <c r="Z23">
        <v>955</v>
      </c>
      <c r="AA23" s="6">
        <f t="shared" si="16"/>
        <v>422.3209544670118</v>
      </c>
      <c r="AB23" s="4">
        <f>Q23/(MIN(Y23,Z23,AA23))</f>
        <v>1.5083315030008939</v>
      </c>
      <c r="AD23">
        <f>B23-2*D23</f>
        <v>92.399999999999991</v>
      </c>
      <c r="AE23">
        <f>C23-2*D23</f>
        <v>193.3</v>
      </c>
      <c r="AF23">
        <f>AD23*AE23</f>
        <v>17860.919999999998</v>
      </c>
      <c r="AG23">
        <f>B23*C23-AF23</f>
        <v>2108.880000000001</v>
      </c>
      <c r="AH23">
        <f>((C23*B23^3-AE23*AD23^3)*F23+(AE23*AD23^3)*H23*0.6)/12</f>
        <v>1035258258.4562296</v>
      </c>
      <c r="AI23" s="6">
        <f>(PI()^2*AH23)/(I23*I23)</f>
        <v>3153.5769950381814</v>
      </c>
      <c r="AJ23">
        <f>0.5*(1+0.21*(M23-0.2)+M23*M23)</f>
        <v>0.77007632637074686</v>
      </c>
      <c r="AK23">
        <f>IF((1/(AJ23+SQRT(AJ23*AJ23-M23*M23)))&gt;1,1,1/(AJ23+SQRT(AJ23*AJ23-M23*M23)))</f>
        <v>0.86349253281951144</v>
      </c>
      <c r="AL23">
        <f>((B23*C23^3-AD23*AE23^3)*F23+(AD23*AE23^3)*H23*0.6)/12</f>
        <v>3460813100.1241059</v>
      </c>
      <c r="AM23">
        <f>(PI()^2*AL23)/(I23*I23)</f>
        <v>10542.239569238451</v>
      </c>
      <c r="AN23">
        <f>0.5*(1+0.21*(N23-0.2)+N23*N23)</f>
        <v>0.58337891098583183</v>
      </c>
      <c r="AO23">
        <f>IF((1/(AN23+SQRT(AN23*AN23-N23*N23)))&gt;1,1,1/(AN23+SQRT(AN23*AN23-N23*N23)))</f>
        <v>0.96207524868992189</v>
      </c>
      <c r="AP23">
        <f>IF(E23&lt;420,0.9,0.8)</f>
        <v>0.9</v>
      </c>
    </row>
  </sheetData>
  <mergeCells count="5">
    <mergeCell ref="Y3:Z3"/>
    <mergeCell ref="A1:E1"/>
    <mergeCell ref="A2:D2"/>
    <mergeCell ref="M6:N6"/>
    <mergeCell ref="S4:T4"/>
  </mergeCells>
  <phoneticPr fontId="0" type="noConversion"/>
  <pageMargins left="0.75" right="0.75" top="1" bottom="1" header="0.5" footer="0.5"/>
  <pageSetup paperSize="9" scale="65" orientation="portrait" horizontalDpi="300" r:id="rId1"/>
  <headerFooter alignWithMargins="0"/>
  <colBreaks count="2" manualBreakCount="2">
    <brk id="14" max="1048575" man="1"/>
    <brk id="2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9"/>
  <sheetViews>
    <sheetView zoomScaleNormal="100" workbookViewId="0" xr3:uid="{958C4451-9541-5A59-BF78-D2F731DF1C81}">
      <pane xSplit="1" ySplit="6" topLeftCell="M14" activePane="bottomRight" state="frozen"/>
      <selection pane="bottomRight" activeCell="R8" sqref="R8:S25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  <col min="2" max="17" width="7.7109375" customWidth="1"/>
    <col min="22" max="22" width="5.7109375" customWidth="1"/>
    <col min="25" max="25" width="5.7109375" customWidth="1"/>
  </cols>
  <sheetData>
    <row r="1" spans="1:29">
      <c r="A1" s="16" t="s">
        <v>84</v>
      </c>
      <c r="B1" s="16"/>
      <c r="C1" s="16"/>
      <c r="D1" s="16"/>
      <c r="E1" s="16"/>
      <c r="F1" s="16"/>
      <c r="G1" s="16"/>
    </row>
    <row r="2" spans="1:29">
      <c r="A2" s="9"/>
      <c r="B2" s="16" t="s">
        <v>85</v>
      </c>
      <c r="C2" s="16"/>
      <c r="D2" s="16"/>
      <c r="E2" s="16"/>
      <c r="H2" s="1"/>
      <c r="I2" s="1"/>
      <c r="J2" s="1"/>
      <c r="K2" s="1"/>
      <c r="L2" s="1"/>
    </row>
    <row r="3" spans="1:29">
      <c r="A3" s="15" t="s">
        <v>86</v>
      </c>
      <c r="H3" s="9" t="s">
        <v>87</v>
      </c>
      <c r="I3" s="17" t="s">
        <v>88</v>
      </c>
      <c r="J3" s="17"/>
      <c r="K3" s="17"/>
      <c r="R3" s="16" t="s">
        <v>89</v>
      </c>
      <c r="S3" s="16"/>
      <c r="T3" s="16"/>
      <c r="U3" s="16"/>
      <c r="W3" s="16" t="s">
        <v>90</v>
      </c>
      <c r="X3" s="16"/>
      <c r="Y3" s="16"/>
      <c r="Z3" s="16"/>
      <c r="AA3" s="16"/>
      <c r="AB3" s="15"/>
      <c r="AC3" s="15"/>
    </row>
    <row r="4" spans="1:29">
      <c r="A4" s="9"/>
      <c r="O4" s="16" t="s">
        <v>4</v>
      </c>
      <c r="P4" s="16"/>
      <c r="Q4" s="15"/>
      <c r="R4" s="16" t="s">
        <v>91</v>
      </c>
      <c r="S4" s="16"/>
      <c r="T4" s="15"/>
      <c r="W4" s="16" t="s">
        <v>92</v>
      </c>
      <c r="X4" s="16"/>
      <c r="Y4" s="16"/>
      <c r="Z4" s="16"/>
      <c r="AA4" s="16"/>
      <c r="AB4" s="8"/>
      <c r="AC4" s="8"/>
    </row>
    <row r="5" spans="1:29">
      <c r="A5" s="10" t="s">
        <v>24</v>
      </c>
      <c r="B5" s="15" t="s">
        <v>25</v>
      </c>
      <c r="C5" s="15" t="s">
        <v>26</v>
      </c>
      <c r="D5" s="15" t="s">
        <v>27</v>
      </c>
      <c r="E5" s="15" t="s">
        <v>28</v>
      </c>
      <c r="F5" s="15" t="s">
        <v>29</v>
      </c>
      <c r="G5" s="15" t="s">
        <v>30</v>
      </c>
      <c r="H5" s="15" t="s">
        <v>31</v>
      </c>
      <c r="I5" s="15" t="s">
        <v>32</v>
      </c>
      <c r="J5" s="15" t="s">
        <v>93</v>
      </c>
      <c r="K5" s="15" t="s">
        <v>94</v>
      </c>
      <c r="L5" s="15" t="s">
        <v>35</v>
      </c>
      <c r="M5" s="16" t="s">
        <v>36</v>
      </c>
      <c r="N5" s="16"/>
      <c r="O5" s="15" t="s">
        <v>18</v>
      </c>
      <c r="P5" s="15" t="s">
        <v>95</v>
      </c>
      <c r="Q5" s="15" t="s">
        <v>96</v>
      </c>
      <c r="R5" s="15" t="s">
        <v>97</v>
      </c>
      <c r="S5" s="15" t="s">
        <v>98</v>
      </c>
      <c r="T5" s="15" t="s">
        <v>99</v>
      </c>
      <c r="U5" s="2" t="s">
        <v>100</v>
      </c>
      <c r="W5" s="15" t="s">
        <v>101</v>
      </c>
      <c r="X5" s="2" t="s">
        <v>102</v>
      </c>
      <c r="Y5" s="2"/>
      <c r="Z5" s="15" t="s">
        <v>103</v>
      </c>
      <c r="AA5" s="2" t="s">
        <v>102</v>
      </c>
      <c r="AB5" s="2"/>
    </row>
    <row r="6" spans="1:29">
      <c r="A6" s="10"/>
      <c r="B6" s="15" t="s">
        <v>56</v>
      </c>
      <c r="C6" s="15" t="s">
        <v>56</v>
      </c>
      <c r="D6" s="15" t="s">
        <v>56</v>
      </c>
      <c r="E6" s="15" t="s">
        <v>57</v>
      </c>
      <c r="F6" s="15" t="s">
        <v>58</v>
      </c>
      <c r="G6" s="15" t="s">
        <v>57</v>
      </c>
      <c r="H6" s="15" t="s">
        <v>58</v>
      </c>
      <c r="I6" s="15" t="s">
        <v>56</v>
      </c>
      <c r="J6" s="15" t="s">
        <v>56</v>
      </c>
      <c r="K6" s="15" t="s">
        <v>56</v>
      </c>
      <c r="L6" s="15"/>
      <c r="M6" s="15" t="s">
        <v>5</v>
      </c>
      <c r="N6" s="15" t="s">
        <v>6</v>
      </c>
      <c r="O6" s="15" t="s">
        <v>60</v>
      </c>
      <c r="P6" s="15" t="s">
        <v>61</v>
      </c>
      <c r="Q6" s="15" t="s">
        <v>61</v>
      </c>
      <c r="R6" s="15" t="s">
        <v>60</v>
      </c>
      <c r="S6" s="15" t="s">
        <v>60</v>
      </c>
      <c r="T6" s="15" t="s">
        <v>60</v>
      </c>
      <c r="U6" s="15" t="s">
        <v>104</v>
      </c>
      <c r="W6" s="15" t="s">
        <v>60</v>
      </c>
      <c r="X6" s="15" t="s">
        <v>105</v>
      </c>
      <c r="Y6" s="15"/>
      <c r="Z6" s="15" t="s">
        <v>60</v>
      </c>
      <c r="AA6" s="15" t="s">
        <v>105</v>
      </c>
      <c r="AB6" s="15"/>
    </row>
    <row r="7" spans="1:29">
      <c r="A7" s="15" t="str">
        <f>Data!A8</f>
        <v>Tian Hua</v>
      </c>
      <c r="B7" s="15">
        <f>Data!B8</f>
        <v>2003</v>
      </c>
      <c r="C7" s="1" t="s">
        <v>68</v>
      </c>
      <c r="G7" s="15" t="s">
        <v>78</v>
      </c>
      <c r="H7" s="15" t="s">
        <v>78</v>
      </c>
    </row>
    <row r="8" spans="1:29">
      <c r="A8" s="1">
        <f>Data!A9</f>
        <v>25</v>
      </c>
      <c r="B8">
        <f>Data!B9</f>
        <v>150</v>
      </c>
      <c r="C8">
        <f>Data!C9</f>
        <v>150</v>
      </c>
      <c r="D8">
        <f>Data!D9</f>
        <v>2.89</v>
      </c>
      <c r="E8">
        <f>Data!E9</f>
        <v>319.3</v>
      </c>
      <c r="F8">
        <f>Data!F9</f>
        <v>200</v>
      </c>
      <c r="G8">
        <f>Data!G9</f>
        <v>68.5</v>
      </c>
      <c r="H8" s="5">
        <f>Data!H9</f>
        <v>40.506163499641971</v>
      </c>
      <c r="I8">
        <f>Data!I9</f>
        <v>1100</v>
      </c>
      <c r="J8">
        <f>Data!J9</f>
        <v>21.2</v>
      </c>
      <c r="K8">
        <f>Data!K9</f>
        <v>21.2</v>
      </c>
      <c r="L8" s="4">
        <f>Data!L9</f>
        <v>7.333333333333333</v>
      </c>
      <c r="M8" s="7">
        <f>Data!M9</f>
        <v>0.33866115790839629</v>
      </c>
      <c r="N8" s="7">
        <f>Data!N9</f>
        <v>0.33866115790839629</v>
      </c>
      <c r="O8">
        <f>Data!Q9</f>
        <v>1205</v>
      </c>
      <c r="P8" s="4">
        <f>Data!S9</f>
        <v>25.545999999999999</v>
      </c>
      <c r="Q8" s="4">
        <f>Data!T9</f>
        <v>25.545999999999999</v>
      </c>
      <c r="R8">
        <f>Data!Y9</f>
        <v>1244</v>
      </c>
      <c r="S8">
        <f>Data!Z9</f>
        <v>1244</v>
      </c>
      <c r="T8" s="6">
        <f>Data!AA9</f>
        <v>767.90123456790116</v>
      </c>
      <c r="U8" s="4">
        <f>Data!AB9</f>
        <v>1.5692122186495179</v>
      </c>
      <c r="W8" s="6">
        <f>1/(SQRT(1/R8^2 + 1/S8^2))</f>
        <v>879.64083579606506</v>
      </c>
      <c r="X8" s="4">
        <f>O8/(MIN(R8,S8,W8))</f>
        <v>1.3698772850961252</v>
      </c>
      <c r="Y8" s="4"/>
      <c r="Z8" s="6">
        <f>1/(SQRT(1/((R8/Data!AP9)^2) + 1/((S8/Data!AP9)^2)))</f>
        <v>977.37870644007228</v>
      </c>
      <c r="AA8" s="4">
        <f>O8/(MIN(R8,S8,Z8))</f>
        <v>1.2328895565865126</v>
      </c>
      <c r="AB8" s="4"/>
    </row>
    <row r="9" spans="1:29">
      <c r="A9" s="1">
        <f>Data!A10</f>
        <v>26</v>
      </c>
      <c r="B9">
        <f>Data!B10</f>
        <v>150</v>
      </c>
      <c r="C9">
        <f>Data!C10</f>
        <v>150</v>
      </c>
      <c r="D9">
        <f>Data!D10</f>
        <v>2.89</v>
      </c>
      <c r="E9">
        <f>Data!E10</f>
        <v>319.3</v>
      </c>
      <c r="F9">
        <f>Data!F10</f>
        <v>200</v>
      </c>
      <c r="G9">
        <f>Data!G10</f>
        <v>68.5</v>
      </c>
      <c r="H9" s="5">
        <f>Data!H10</f>
        <v>40.506163499641971</v>
      </c>
      <c r="I9">
        <f>Data!I10</f>
        <v>2200</v>
      </c>
      <c r="J9">
        <f>Data!J10</f>
        <v>21.2</v>
      </c>
      <c r="K9">
        <f>Data!K10</f>
        <v>21.2</v>
      </c>
      <c r="L9" s="4">
        <f>Data!L10</f>
        <v>14.666666666666666</v>
      </c>
      <c r="M9" s="7">
        <f>Data!M10</f>
        <v>0.67732231581679259</v>
      </c>
      <c r="N9" s="7">
        <f>Data!N10</f>
        <v>0.67732231581679259</v>
      </c>
      <c r="O9">
        <f>Data!Q10</f>
        <v>911</v>
      </c>
      <c r="P9" s="4">
        <f>Data!S10</f>
        <v>19.313200000000002</v>
      </c>
      <c r="Q9" s="4">
        <f>Data!T10</f>
        <v>19.313200000000002</v>
      </c>
      <c r="R9">
        <f>Data!Y10</f>
        <v>1031</v>
      </c>
      <c r="S9">
        <f>Data!Z10</f>
        <v>1031</v>
      </c>
      <c r="T9" s="6">
        <f>Data!AA10</f>
        <v>636.41975308641975</v>
      </c>
      <c r="U9" s="4">
        <f>Data!AB10</f>
        <v>1.4314451988360815</v>
      </c>
      <c r="W9" s="6">
        <f t="shared" ref="W9:W15" si="0">1/(SQRT(1/R9^2 + 1/S9^2))</f>
        <v>729.02709140333047</v>
      </c>
      <c r="X9" s="4">
        <f t="shared" ref="X9:X15" si="1">O9/(MIN(R9,S9,W9))</f>
        <v>1.2496106259184188</v>
      </c>
      <c r="Y9" s="4"/>
      <c r="Z9" s="6">
        <f>1/(SQRT(1/((R9/Data!AP10)^2) + 1/((S9/Data!AP10)^2)))</f>
        <v>810.03010155925597</v>
      </c>
      <c r="AA9" s="4">
        <f>O9/(MIN(R9,S9,Z9))</f>
        <v>1.124649563326577</v>
      </c>
    </row>
    <row r="10" spans="1:29">
      <c r="A10" s="1"/>
      <c r="H10" s="5"/>
      <c r="L10" s="4"/>
      <c r="M10" s="7"/>
      <c r="N10" s="7"/>
      <c r="P10" s="4"/>
      <c r="Q10" s="4"/>
      <c r="T10" s="13" t="s">
        <v>106</v>
      </c>
      <c r="U10" s="12">
        <f>AVERAGE(U8:U9)</f>
        <v>1.5003287087427997</v>
      </c>
      <c r="W10" s="13" t="s">
        <v>106</v>
      </c>
      <c r="X10" s="12">
        <f>AVERAGE(X8:X9)</f>
        <v>1.3097439555072721</v>
      </c>
      <c r="Y10" s="12"/>
      <c r="Z10" s="13" t="s">
        <v>106</v>
      </c>
      <c r="AA10" s="12">
        <f>AVERAGE(AA8:AA9)</f>
        <v>1.1787695599565446</v>
      </c>
    </row>
    <row r="11" spans="1:29">
      <c r="A11" s="15" t="str">
        <f>Data!A12</f>
        <v>Bridge</v>
      </c>
      <c r="B11" s="15">
        <f>Data!B12</f>
        <v>1976</v>
      </c>
      <c r="C11" t="s">
        <v>70</v>
      </c>
      <c r="H11" s="5"/>
      <c r="L11" s="4"/>
      <c r="M11" s="7"/>
      <c r="N11" s="7"/>
      <c r="P11" s="4"/>
      <c r="Q11" s="4"/>
      <c r="T11" s="6" t="s">
        <v>107</v>
      </c>
      <c r="U11" s="7">
        <f>STDEV(U8:U9)</f>
        <v>9.7415993933942346E-2</v>
      </c>
      <c r="W11" s="6" t="s">
        <v>107</v>
      </c>
      <c r="X11" s="7">
        <f>STDEV(X8:X9)</f>
        <v>8.5041370255207527E-2</v>
      </c>
      <c r="Y11" s="4"/>
      <c r="Z11" s="6" t="s">
        <v>107</v>
      </c>
      <c r="AA11" s="7">
        <f>STDEV(AA8:AA9)</f>
        <v>7.6537233229686669E-2</v>
      </c>
    </row>
    <row r="12" spans="1:29">
      <c r="A12" s="1" t="str">
        <f>Data!A13</f>
        <v>SHC-3</v>
      </c>
      <c r="B12">
        <f>Data!B13</f>
        <v>203.05</v>
      </c>
      <c r="C12">
        <f>Data!C13</f>
        <v>203.05</v>
      </c>
      <c r="D12">
        <f>Data!D13</f>
        <v>10.029999999999999</v>
      </c>
      <c r="E12">
        <f>Data!E13</f>
        <v>313</v>
      </c>
      <c r="F12">
        <f>Data!F13</f>
        <v>200</v>
      </c>
      <c r="G12">
        <f>Data!G13</f>
        <v>35.299999999999997</v>
      </c>
      <c r="H12" s="5">
        <f>Data!H13</f>
        <v>34.148296980115511</v>
      </c>
      <c r="I12">
        <f>Data!I13</f>
        <v>2130</v>
      </c>
      <c r="J12">
        <f>Data!J13</f>
        <v>19</v>
      </c>
      <c r="K12">
        <f>Data!K13</f>
        <v>32.9</v>
      </c>
      <c r="L12" s="4">
        <f>Data!L13</f>
        <v>10.490027086924401</v>
      </c>
      <c r="M12" s="7">
        <f>Data!M13</f>
        <v>0.3787062217222486</v>
      </c>
      <c r="N12" s="7">
        <f>Data!N13</f>
        <v>0.3787062217222486</v>
      </c>
      <c r="O12">
        <f>Data!Q13</f>
        <v>2180</v>
      </c>
      <c r="P12" s="4">
        <f>Data!S13</f>
        <v>41.42</v>
      </c>
      <c r="Q12" s="4">
        <f>Data!T13</f>
        <v>71.721999999999994</v>
      </c>
      <c r="R12">
        <f>Data!Y13</f>
        <v>2202</v>
      </c>
      <c r="S12">
        <f>Data!Z13</f>
        <v>2520</v>
      </c>
      <c r="T12" s="6">
        <f>Data!AA13</f>
        <v>1450.7976845969222</v>
      </c>
      <c r="U12" s="4">
        <f>Data!AB13</f>
        <v>1.5026216426625145</v>
      </c>
      <c r="W12" s="6">
        <f t="shared" si="0"/>
        <v>1658.1517652395862</v>
      </c>
      <c r="X12" s="4">
        <f t="shared" si="1"/>
        <v>1.3147168104271878</v>
      </c>
      <c r="Y12" s="4"/>
      <c r="Z12" s="6">
        <f>1/(SQRT(1/((R12/Data!AP13)^2) + 1/((S12/Data!AP13)^2)))</f>
        <v>1842.3908502662068</v>
      </c>
      <c r="AA12" s="4">
        <f>O12/(MIN(R12,S12,Z12))</f>
        <v>1.1832451293844692</v>
      </c>
    </row>
    <row r="13" spans="1:29">
      <c r="A13" s="1" t="str">
        <f>Data!A14</f>
        <v>SHC-4</v>
      </c>
      <c r="B13">
        <f>Data!B14</f>
        <v>203.1</v>
      </c>
      <c r="C13">
        <f>Data!C14</f>
        <v>203.1</v>
      </c>
      <c r="D13">
        <f>Data!D14</f>
        <v>9.8800000000000008</v>
      </c>
      <c r="E13">
        <f>Data!E14</f>
        <v>317</v>
      </c>
      <c r="F13">
        <f>Data!F14</f>
        <v>200</v>
      </c>
      <c r="G13">
        <f>Data!G14</f>
        <v>37.299999999999997</v>
      </c>
      <c r="H13" s="5">
        <f>Data!H14</f>
        <v>34.614028061719331</v>
      </c>
      <c r="I13">
        <f>Data!I14</f>
        <v>2130</v>
      </c>
      <c r="J13">
        <f>Data!J14</f>
        <v>26.9</v>
      </c>
      <c r="K13">
        <f>Data!K14</f>
        <v>26.9</v>
      </c>
      <c r="L13" s="4">
        <f>Data!L14</f>
        <v>10.487444608567209</v>
      </c>
      <c r="M13" s="7">
        <f>Data!M14</f>
        <v>0.38352512328232141</v>
      </c>
      <c r="N13" s="7">
        <f>Data!N14</f>
        <v>0.38352512328232141</v>
      </c>
      <c r="O13">
        <f>Data!Q14</f>
        <v>2162</v>
      </c>
      <c r="P13" s="4">
        <f>Data!S14</f>
        <v>58.157799999999995</v>
      </c>
      <c r="Q13" s="4">
        <f>Data!T14</f>
        <v>58.157799999999995</v>
      </c>
      <c r="R13">
        <f>Data!Y14</f>
        <v>2382</v>
      </c>
      <c r="S13">
        <f>Data!Z14</f>
        <v>2382</v>
      </c>
      <c r="T13" s="6">
        <f>Data!AA14</f>
        <v>1470.3703703703702</v>
      </c>
      <c r="U13" s="4">
        <f>Data!AB14</f>
        <v>1.4703778337531488</v>
      </c>
      <c r="W13" s="6">
        <f t="shared" si="0"/>
        <v>1684.3283527863562</v>
      </c>
      <c r="X13" s="4">
        <f t="shared" si="1"/>
        <v>1.2835977001891821</v>
      </c>
      <c r="Y13" s="4"/>
      <c r="Z13" s="6">
        <f>1/(SQRT(1/((R13/Data!AP14)^2) + 1/((S13/Data!AP14)^2)))</f>
        <v>1871.4759475403955</v>
      </c>
      <c r="AA13" s="4">
        <f>O13/(MIN(R13,S13,Z13))</f>
        <v>1.155237930170264</v>
      </c>
    </row>
    <row r="14" spans="1:29">
      <c r="A14" s="1" t="str">
        <f>Data!A15</f>
        <v>SHC-5</v>
      </c>
      <c r="B14">
        <f>Data!B15</f>
        <v>202.65</v>
      </c>
      <c r="C14">
        <f>Data!C15</f>
        <v>202.9</v>
      </c>
      <c r="D14">
        <f>Data!D15</f>
        <v>10.01</v>
      </c>
      <c r="E14">
        <f>Data!E15</f>
        <v>319</v>
      </c>
      <c r="F14">
        <f>Data!F15</f>
        <v>200</v>
      </c>
      <c r="G14">
        <f>Data!G15</f>
        <v>42.1</v>
      </c>
      <c r="H14" s="5">
        <f>Data!H15</f>
        <v>35.675822836398801</v>
      </c>
      <c r="I14">
        <f>Data!I15</f>
        <v>3050</v>
      </c>
      <c r="J14">
        <f>Data!J15</f>
        <v>19</v>
      </c>
      <c r="K14">
        <f>Data!K15</f>
        <v>32.9</v>
      </c>
      <c r="L14" s="4">
        <f>Data!L15</f>
        <v>15.050579817419194</v>
      </c>
      <c r="M14" s="7">
        <f>Data!M15</f>
        <v>0.56151469607654447</v>
      </c>
      <c r="N14" s="7">
        <f>Data!N15</f>
        <v>0.56093147920802666</v>
      </c>
      <c r="O14">
        <f>Data!Q15</f>
        <v>2037</v>
      </c>
      <c r="P14" s="4">
        <f>Data!S15</f>
        <v>38.703000000000003</v>
      </c>
      <c r="Q14" s="4">
        <f>Data!T15</f>
        <v>67.017300000000006</v>
      </c>
      <c r="R14">
        <f>Data!Y15</f>
        <v>2210</v>
      </c>
      <c r="S14">
        <f>Data!Z15</f>
        <v>2527</v>
      </c>
      <c r="T14" s="6">
        <f>Data!AA15</f>
        <v>1455.4896181101235</v>
      </c>
      <c r="U14" s="4">
        <f>Data!AB15</f>
        <v>1.3995290482696381</v>
      </c>
      <c r="W14" s="6">
        <f t="shared" si="0"/>
        <v>1663.5614674670983</v>
      </c>
      <c r="X14" s="4">
        <f t="shared" si="1"/>
        <v>1.2244813551142724</v>
      </c>
      <c r="Y14" s="4"/>
      <c r="Z14" s="6">
        <f>1/(SQRT(1/((R14/Data!AP15)^2) + 1/((S14/Data!AP15)^2)))</f>
        <v>1848.401630518998</v>
      </c>
      <c r="AA14" s="4">
        <f>O14/(MIN(R14,S14,Z14))</f>
        <v>1.1020332196028453</v>
      </c>
    </row>
    <row r="15" spans="1:29">
      <c r="A15" s="1" t="str">
        <f>Data!A16</f>
        <v>SHC-6</v>
      </c>
      <c r="B15">
        <f>Data!B16</f>
        <v>202.65</v>
      </c>
      <c r="C15">
        <f>Data!C16</f>
        <v>202.65</v>
      </c>
      <c r="D15">
        <f>Data!D16</f>
        <v>9.7799999999999994</v>
      </c>
      <c r="E15">
        <f>Data!E16</f>
        <v>317</v>
      </c>
      <c r="F15">
        <f>Data!F16</f>
        <v>200</v>
      </c>
      <c r="G15">
        <f>Data!G16</f>
        <v>34.4</v>
      </c>
      <c r="H15" s="5">
        <f>Data!H16</f>
        <v>33.933795463795462</v>
      </c>
      <c r="I15">
        <f>Data!I16</f>
        <v>3050</v>
      </c>
      <c r="J15">
        <f>Data!J16</f>
        <v>45.3</v>
      </c>
      <c r="K15">
        <f>Data!K16</f>
        <v>45.3</v>
      </c>
      <c r="L15" s="4">
        <f>Data!L16</f>
        <v>15.050579817419194</v>
      </c>
      <c r="M15" s="7">
        <f>Data!M16</f>
        <v>0.54410106718137696</v>
      </c>
      <c r="N15" s="7">
        <f>Data!N16</f>
        <v>0.54410106718137696</v>
      </c>
      <c r="O15">
        <f>Data!Q16</f>
        <v>1623</v>
      </c>
      <c r="P15" s="4">
        <f>Data!S16</f>
        <v>73.521899999999988</v>
      </c>
      <c r="Q15" s="4">
        <f>Data!T16</f>
        <v>73.521899999999988</v>
      </c>
      <c r="R15">
        <f>Data!Y16</f>
        <v>1841</v>
      </c>
      <c r="S15">
        <f>Data!Z16</f>
        <v>1841</v>
      </c>
      <c r="T15" s="6">
        <f>Data!AA16</f>
        <v>1136.4197530864196</v>
      </c>
      <c r="U15" s="4">
        <f>Data!AB16</f>
        <v>1.428169473112439</v>
      </c>
      <c r="W15" s="6">
        <f t="shared" si="0"/>
        <v>1301.7835841644339</v>
      </c>
      <c r="X15" s="4">
        <f t="shared" si="1"/>
        <v>1.2467510112610176</v>
      </c>
      <c r="Y15" s="4"/>
      <c r="Z15" s="6">
        <f>1/(SQRT(1/((R15/Data!AP16)^2) + 1/((S15/Data!AP16)^2)))</f>
        <v>1446.4262046271488</v>
      </c>
      <c r="AA15" s="4">
        <f>O15/(MIN(R15,S15,Z15))</f>
        <v>1.1220759101349158</v>
      </c>
    </row>
    <row r="16" spans="1:29">
      <c r="T16" s="11" t="s">
        <v>108</v>
      </c>
      <c r="U16" s="12">
        <f>AVERAGE(U12:U15)</f>
        <v>1.4501744994494352</v>
      </c>
      <c r="W16" s="11" t="s">
        <v>108</v>
      </c>
      <c r="X16" s="12">
        <f>AVERAGE(X12:X15)</f>
        <v>1.2673867192479149</v>
      </c>
      <c r="Y16" s="11"/>
      <c r="Z16" s="11" t="s">
        <v>108</v>
      </c>
      <c r="AA16" s="12">
        <f>AVERAGE(AA12:AA15)</f>
        <v>1.1406480473231235</v>
      </c>
    </row>
    <row r="17" spans="1:27">
      <c r="T17" t="s">
        <v>107</v>
      </c>
      <c r="U17" s="7">
        <f>STDEV(U12:U15)</f>
        <v>4.5490147129160365E-2</v>
      </c>
      <c r="W17" t="s">
        <v>107</v>
      </c>
      <c r="X17" s="7">
        <f>STDEV(X12:X15)</f>
        <v>3.987328324278204E-2</v>
      </c>
      <c r="Z17" t="s">
        <v>107</v>
      </c>
      <c r="AA17" s="7">
        <f>STDEV(AA12:AA15)</f>
        <v>3.5885954918503896E-2</v>
      </c>
    </row>
    <row r="18" spans="1:27">
      <c r="S18" s="10" t="s">
        <v>109</v>
      </c>
      <c r="T18" s="11" t="s">
        <v>110</v>
      </c>
      <c r="U18" s="12">
        <f>AVERAGE(U8:U9,U12:U15)</f>
        <v>1.4668925692138899</v>
      </c>
      <c r="W18" s="11" t="s">
        <v>110</v>
      </c>
      <c r="X18" s="12">
        <f>AVERAGE(X8:X9,X12:X15)</f>
        <v>1.281505798001034</v>
      </c>
      <c r="Y18" s="11"/>
      <c r="Z18" s="11" t="s">
        <v>110</v>
      </c>
      <c r="AA18" s="12">
        <f>AVERAGE(AA8:AA9,AA12:AA15)</f>
        <v>1.1533552182009306</v>
      </c>
    </row>
    <row r="19" spans="1:27">
      <c r="S19" s="9" t="s">
        <v>109</v>
      </c>
      <c r="T19" t="s">
        <v>107</v>
      </c>
      <c r="U19" s="7">
        <f>(2*U11+4*U17)/6</f>
        <v>6.2798762730754354E-2</v>
      </c>
      <c r="W19" t="s">
        <v>107</v>
      </c>
      <c r="X19" s="7">
        <f>(2*X11+4*X17)/6</f>
        <v>5.4929312246923871E-2</v>
      </c>
      <c r="Z19" t="s">
        <v>107</v>
      </c>
      <c r="AA19" s="7">
        <f>(2*AA11+4*AA17)/6</f>
        <v>4.9436381022231489E-2</v>
      </c>
    </row>
    <row r="20" spans="1:27">
      <c r="A20" s="15" t="str">
        <f>Data!A18</f>
        <v>Guo Lanhui</v>
      </c>
      <c r="B20" s="15">
        <f>Data!B18</f>
        <v>2007</v>
      </c>
      <c r="C20" t="str">
        <f>Data!C18</f>
        <v>Ref. 108</v>
      </c>
      <c r="S20" s="9"/>
      <c r="U20" s="7"/>
      <c r="X20" s="7"/>
      <c r="AA20" s="7"/>
    </row>
    <row r="21" spans="1:27">
      <c r="A21" s="1" t="str">
        <f>Data!A19</f>
        <v>S-K3-2</v>
      </c>
      <c r="B21">
        <f>Data!B19</f>
        <v>149.6</v>
      </c>
      <c r="C21">
        <f>Data!C19</f>
        <v>149.6</v>
      </c>
      <c r="D21">
        <f>Data!D19</f>
        <v>3.66</v>
      </c>
      <c r="E21">
        <f>Data!E19</f>
        <v>289</v>
      </c>
      <c r="F21">
        <f>Data!F19</f>
        <v>200</v>
      </c>
      <c r="G21">
        <f>Data!G19</f>
        <v>44</v>
      </c>
      <c r="H21" s="5">
        <f>Data!H19</f>
        <v>36.076440733482187</v>
      </c>
      <c r="I21">
        <f>Data!I19</f>
        <v>1350</v>
      </c>
      <c r="J21">
        <f>Data!J19</f>
        <v>21.2</v>
      </c>
      <c r="K21">
        <f>Data!K19</f>
        <v>21.2</v>
      </c>
      <c r="L21" s="4">
        <f>Data!L19</f>
        <v>9.0240641711229959</v>
      </c>
      <c r="M21" s="7">
        <f>Data!M19</f>
        <v>0.35127216890384749</v>
      </c>
      <c r="N21" s="7">
        <f>Data!N19</f>
        <v>0.35127216890384749</v>
      </c>
      <c r="O21">
        <f>Data!Q19</f>
        <v>974</v>
      </c>
      <c r="P21" s="4">
        <f>Data!S19</f>
        <v>20.648799999999998</v>
      </c>
      <c r="Q21" s="4">
        <f>Data!T19</f>
        <v>20.648799999999998</v>
      </c>
      <c r="R21">
        <f>Data!Y19</f>
        <v>964</v>
      </c>
      <c r="S21">
        <f>Data!Z19</f>
        <v>964</v>
      </c>
      <c r="T21" s="6">
        <f>Data!AA19</f>
        <v>595.06172839506166</v>
      </c>
      <c r="U21" s="4">
        <f>Data!AB19</f>
        <v>1.6368049792531123</v>
      </c>
      <c r="W21" s="6">
        <f>1/(SQRT(1/R21^2 + 1/S21^2))</f>
        <v>681.65093706383175</v>
      </c>
      <c r="X21" s="4">
        <f>O21/(MIN(R21,S21,W21))</f>
        <v>1.4288838275429405</v>
      </c>
      <c r="Y21" s="4"/>
      <c r="Z21" s="6">
        <f>1/(SQRT(1/((R21/Data!AP19)^2) + 1/((S21/Data!AP19)^2)))</f>
        <v>757.38993007092415</v>
      </c>
      <c r="AA21" s="4">
        <f>O21/(MIN(R21,S21,Z21))</f>
        <v>1.2859954447886466</v>
      </c>
    </row>
    <row r="22" spans="1:27">
      <c r="A22" s="1" t="str">
        <f>Data!A20</f>
        <v>S-K3-3</v>
      </c>
      <c r="B22">
        <f>Data!B20</f>
        <v>149.6</v>
      </c>
      <c r="C22">
        <f>Data!C20</f>
        <v>149.6</v>
      </c>
      <c r="D22">
        <f>Data!D20</f>
        <v>3.66</v>
      </c>
      <c r="E22">
        <f>Data!E20</f>
        <v>289</v>
      </c>
      <c r="F22">
        <f>Data!F20</f>
        <v>200</v>
      </c>
      <c r="G22">
        <f>Data!G20</f>
        <v>44</v>
      </c>
      <c r="H22" s="5">
        <f>Data!H20</f>
        <v>36.076440733482187</v>
      </c>
      <c r="I22">
        <f>Data!I20</f>
        <v>1350</v>
      </c>
      <c r="J22">
        <f>Data!J20</f>
        <v>12.3</v>
      </c>
      <c r="K22">
        <f>Data!K20</f>
        <v>38.299999999999997</v>
      </c>
      <c r="L22" s="4">
        <f>Data!L20</f>
        <v>9.0240641711229959</v>
      </c>
      <c r="M22" s="7">
        <f>Data!M20</f>
        <v>0.35127216890384749</v>
      </c>
      <c r="N22" s="7">
        <f>Data!N20</f>
        <v>0.35127216890384749</v>
      </c>
      <c r="O22">
        <f>Data!Q20</f>
        <v>902</v>
      </c>
      <c r="P22" s="4">
        <f>Data!S20</f>
        <v>11.0946</v>
      </c>
      <c r="Q22" s="4">
        <f>Data!T20</f>
        <v>34.546599999999998</v>
      </c>
      <c r="R22">
        <f>Data!Y20</f>
        <v>1085</v>
      </c>
      <c r="S22">
        <f>Data!Z20</f>
        <v>761</v>
      </c>
      <c r="T22" s="6">
        <f>Data!AA20</f>
        <v>552.20162379786791</v>
      </c>
      <c r="U22" s="4">
        <f>Data!AB20</f>
        <v>1.6334613321060696</v>
      </c>
      <c r="W22" s="6">
        <f>1/(SQRT(1/R22^2 + 1/S22^2))</f>
        <v>623.03057061416757</v>
      </c>
      <c r="X22" s="4">
        <f>O22/(MIN(R22,S22,W22))</f>
        <v>1.4477620241183855</v>
      </c>
      <c r="Y22" s="4"/>
      <c r="Z22" s="6">
        <f>1/(SQRT(1/((R22/Data!AP20)^2) + 1/((S22/Data!AP20)^2)))</f>
        <v>692.25618957129734</v>
      </c>
      <c r="AA22" s="4">
        <f>O22/(MIN(R22,S22,Z22))</f>
        <v>1.3029858217065469</v>
      </c>
    </row>
    <row r="23" spans="1:27">
      <c r="A23" s="1" t="str">
        <f>Data!A21</f>
        <v>R-K3-3</v>
      </c>
      <c r="B23">
        <f>Data!B21</f>
        <v>99.8</v>
      </c>
      <c r="C23">
        <f>Data!C21</f>
        <v>198.5</v>
      </c>
      <c r="D23">
        <f>Data!D21</f>
        <v>3.63</v>
      </c>
      <c r="E23">
        <f>Data!E21</f>
        <v>289</v>
      </c>
      <c r="F23">
        <f>Data!F21</f>
        <v>200</v>
      </c>
      <c r="G23">
        <f>Data!G21</f>
        <v>44</v>
      </c>
      <c r="H23" s="5">
        <f>Data!H21</f>
        <v>36.076440733482187</v>
      </c>
      <c r="I23">
        <f>Data!I21</f>
        <v>1800</v>
      </c>
      <c r="J23">
        <f>Data!J21</f>
        <v>30</v>
      </c>
      <c r="K23">
        <f>Data!K21</f>
        <v>30</v>
      </c>
      <c r="L23" s="4">
        <f>Data!L21</f>
        <v>18.036072144288578</v>
      </c>
      <c r="M23" s="7">
        <f>Data!M21</f>
        <v>0.66350585567543974</v>
      </c>
      <c r="N23" s="7">
        <f>Data!N21</f>
        <v>0.36681402598094442</v>
      </c>
      <c r="O23">
        <f>Data!Q21</f>
        <v>632</v>
      </c>
      <c r="P23" s="4">
        <f>Data!S21</f>
        <v>18.96</v>
      </c>
      <c r="Q23" s="4">
        <f>Data!T21</f>
        <v>18.96</v>
      </c>
      <c r="R23">
        <f>Data!Y21</f>
        <v>561</v>
      </c>
      <c r="S23">
        <f>Data!Z21</f>
        <v>782</v>
      </c>
      <c r="T23" s="6">
        <f>Data!AA21</f>
        <v>403.28176277543361</v>
      </c>
      <c r="U23" s="4">
        <f>Data!AB21</f>
        <v>1.5671425249941877</v>
      </c>
      <c r="W23" s="6">
        <f>1/(SQRT(1/R23^2 + 1/S23^2))</f>
        <v>455.83395860325345</v>
      </c>
      <c r="X23" s="4">
        <f>O23/(MIN(R23,S23,W23))</f>
        <v>1.3864697617890227</v>
      </c>
      <c r="Y23" s="4"/>
      <c r="Z23" s="6">
        <f>1/(SQRT(1/((R23/Data!AP21)^2) + 1/((S23/Data!AP21)^2)))</f>
        <v>506.48217622583729</v>
      </c>
      <c r="AA23" s="4">
        <f>O23/(MIN(R23,S23,Z23))</f>
        <v>1.2478227856101201</v>
      </c>
    </row>
    <row r="24" spans="1:27">
      <c r="A24" s="1" t="str">
        <f>Data!A22</f>
        <v>R-K3-4</v>
      </c>
      <c r="B24">
        <f>Data!B22</f>
        <v>100.6</v>
      </c>
      <c r="C24">
        <f>Data!C22</f>
        <v>200.4</v>
      </c>
      <c r="D24">
        <f>Data!D22</f>
        <v>3.6</v>
      </c>
      <c r="E24">
        <f>Data!E22</f>
        <v>289</v>
      </c>
      <c r="F24">
        <f>Data!F22</f>
        <v>200</v>
      </c>
      <c r="G24">
        <f>Data!G22</f>
        <v>44</v>
      </c>
      <c r="H24" s="5">
        <f>Data!H22</f>
        <v>36.076440733482187</v>
      </c>
      <c r="I24">
        <f>Data!I22</f>
        <v>1800</v>
      </c>
      <c r="J24">
        <f>Data!J22</f>
        <v>40</v>
      </c>
      <c r="K24">
        <f>Data!K22</f>
        <v>20</v>
      </c>
      <c r="L24" s="4">
        <f>Data!L22</f>
        <v>17.892644135188867</v>
      </c>
      <c r="M24" s="7">
        <f>Data!M22</f>
        <v>0.65945438592953154</v>
      </c>
      <c r="N24" s="7">
        <f>Data!N22</f>
        <v>0.36393487672283192</v>
      </c>
      <c r="O24">
        <f>Data!Q22</f>
        <v>692</v>
      </c>
      <c r="P24" s="4">
        <f>Data!S22</f>
        <v>27.68</v>
      </c>
      <c r="Q24" s="4">
        <f>Data!T22</f>
        <v>13.84</v>
      </c>
      <c r="R24">
        <f>Data!Y22</f>
        <v>700</v>
      </c>
      <c r="S24">
        <f>Data!Z22</f>
        <v>711</v>
      </c>
      <c r="T24" s="6">
        <f>Data!AA22</f>
        <v>435.46735963461686</v>
      </c>
      <c r="U24" s="4">
        <f>Data!AB22</f>
        <v>1.5890972875226042</v>
      </c>
      <c r="W24" s="6">
        <f>1/(SQRT(1/R24^2 + 1/S24^2))</f>
        <v>498.818357397478</v>
      </c>
      <c r="X24" s="4">
        <f>O24/(MIN(R24,S24,W24))</f>
        <v>1.3872785348366545</v>
      </c>
      <c r="Y24" s="4"/>
      <c r="Z24" s="6">
        <f>1/(SQRT(1/((R24/Data!AP22)^2) + 1/((S24/Data!AP22)^2)))</f>
        <v>554.24261933053094</v>
      </c>
      <c r="AA24" s="4">
        <f>O24/(MIN(R24,S24,Z24))</f>
        <v>1.2485506813529894</v>
      </c>
    </row>
    <row r="25" spans="1:27">
      <c r="A25" s="1" t="str">
        <f>Data!A23</f>
        <v>R-K3-6</v>
      </c>
      <c r="B25">
        <f>Data!B23</f>
        <v>99.6</v>
      </c>
      <c r="C25">
        <f>Data!C23</f>
        <v>200.5</v>
      </c>
      <c r="D25">
        <f>Data!D23</f>
        <v>3.6</v>
      </c>
      <c r="E25">
        <f>Data!E23</f>
        <v>289</v>
      </c>
      <c r="F25">
        <f>Data!F23</f>
        <v>200</v>
      </c>
      <c r="G25">
        <f>Data!G23</f>
        <v>44</v>
      </c>
      <c r="H25" s="5">
        <f>Data!H23</f>
        <v>36.076440733482187</v>
      </c>
      <c r="I25">
        <f>Data!I23</f>
        <v>1800</v>
      </c>
      <c r="J25">
        <f>Data!J23</f>
        <v>12.5</v>
      </c>
      <c r="K25">
        <f>Data!K23</f>
        <v>32.5</v>
      </c>
      <c r="L25" s="4">
        <f>Data!L23</f>
        <v>18.072289156626507</v>
      </c>
      <c r="M25" s="7">
        <f>Data!M23</f>
        <v>0.66518027288518222</v>
      </c>
      <c r="N25" s="7">
        <f>Data!N23</f>
        <v>0.36381000626230631</v>
      </c>
      <c r="O25">
        <f>Data!Q23</f>
        <v>637</v>
      </c>
      <c r="P25" s="4">
        <f>Data!S23</f>
        <v>7.9625000000000004</v>
      </c>
      <c r="Q25" s="4">
        <f>Data!T23</f>
        <v>20.702500000000001</v>
      </c>
      <c r="R25">
        <f>Data!Y23</f>
        <v>533</v>
      </c>
      <c r="S25">
        <f>Data!Z23</f>
        <v>955</v>
      </c>
      <c r="T25" s="6">
        <f>Data!AA23</f>
        <v>422.3209544670118</v>
      </c>
      <c r="U25" s="4">
        <f>Data!AB23</f>
        <v>1.5083315030008939</v>
      </c>
      <c r="W25" s="6">
        <f>1/(SQRT(1/R25^2 + 1/S25^2))</f>
        <v>465.4191983509171</v>
      </c>
      <c r="X25" s="4">
        <f>O25/(MIN(R25,S25,W25))</f>
        <v>1.3686586248634167</v>
      </c>
      <c r="Y25" s="4"/>
      <c r="Z25" s="6">
        <f>1/(SQRT(1/((R25/Data!AP23)^2) + 1/((S25/Data!AP23)^2)))</f>
        <v>517.13244261213003</v>
      </c>
      <c r="AA25" s="4">
        <f>O25/(MIN(R25,S25,Z25))</f>
        <v>1.2317927623770752</v>
      </c>
    </row>
    <row r="26" spans="1:27">
      <c r="A26" s="1"/>
      <c r="H26" s="5"/>
      <c r="L26" s="4"/>
      <c r="M26" s="7"/>
      <c r="N26" s="7"/>
      <c r="P26" s="4"/>
      <c r="Q26" s="4"/>
      <c r="T26" s="11" t="s">
        <v>111</v>
      </c>
      <c r="U26" s="12">
        <f>AVERAGE(U21:U25)</f>
        <v>1.5869675253753737</v>
      </c>
      <c r="V26" s="11"/>
      <c r="W26" s="11" t="s">
        <v>111</v>
      </c>
      <c r="X26" s="12">
        <f>AVERAGE(X21:X25)</f>
        <v>1.4038105546300841</v>
      </c>
      <c r="Y26" s="11"/>
      <c r="Z26" s="11" t="s">
        <v>111</v>
      </c>
      <c r="AA26" s="12">
        <f>AVERAGE(AA21:AA25)</f>
        <v>1.2634294991670756</v>
      </c>
    </row>
    <row r="27" spans="1:27">
      <c r="A27" s="1"/>
      <c r="H27" s="5"/>
      <c r="L27" s="4"/>
      <c r="M27" s="7"/>
      <c r="N27" s="7"/>
      <c r="P27" s="4"/>
      <c r="Q27" s="4"/>
      <c r="T27" t="s">
        <v>107</v>
      </c>
      <c r="U27" s="7">
        <f>STDEV(U21:U25)</f>
        <v>5.2977911470547111E-2</v>
      </c>
      <c r="W27" t="s">
        <v>107</v>
      </c>
      <c r="X27" s="7">
        <f>STDEV(X21:X25)</f>
        <v>3.3053251072592466E-2</v>
      </c>
      <c r="Z27" t="s">
        <v>107</v>
      </c>
      <c r="AA27" s="7">
        <f>STDEV(AA21:AA25)</f>
        <v>2.9747925965333162E-2</v>
      </c>
    </row>
    <row r="28" spans="1:27">
      <c r="A28" s="1"/>
      <c r="H28" s="5"/>
      <c r="L28" s="4"/>
      <c r="M28" s="7"/>
      <c r="N28" s="7"/>
      <c r="P28" s="4"/>
      <c r="Q28" s="4"/>
      <c r="S28" s="10" t="s">
        <v>109</v>
      </c>
      <c r="T28" s="11" t="s">
        <v>112</v>
      </c>
      <c r="U28" s="12">
        <f>AVERAGE(U9:U10,U12:U15,U21:U25)</f>
        <v>1.5152099574775897</v>
      </c>
      <c r="V28" s="11"/>
      <c r="W28" s="11" t="s">
        <v>112</v>
      </c>
      <c r="X28" s="12">
        <f>AVERAGE(X8:X9,X12:X15,X21:X25)</f>
        <v>1.3370988691960568</v>
      </c>
      <c r="Y28" s="11"/>
      <c r="Z28" s="11" t="s">
        <v>112</v>
      </c>
      <c r="AA28" s="12">
        <f>AVERAGE(AA8:AA9,AA12:AA15,AA21:AA25)</f>
        <v>1.203388982276451</v>
      </c>
    </row>
    <row r="29" spans="1:27">
      <c r="S29" t="s">
        <v>113</v>
      </c>
      <c r="T29" t="s">
        <v>107</v>
      </c>
      <c r="U29" s="7">
        <f>(6*U19+5*U27)/11</f>
        <v>5.833473943066015E-2</v>
      </c>
      <c r="W29" t="s">
        <v>107</v>
      </c>
      <c r="X29" s="7">
        <f>(6*X19+5*X27)/11</f>
        <v>4.498564807677323E-2</v>
      </c>
      <c r="Z29" t="s">
        <v>107</v>
      </c>
      <c r="AA29" s="7">
        <f>(6*AA19+5*AA27)/11</f>
        <v>4.0487083269095885E-2</v>
      </c>
    </row>
  </sheetData>
  <mergeCells count="9">
    <mergeCell ref="A1:G1"/>
    <mergeCell ref="B2:E2"/>
    <mergeCell ref="I3:K3"/>
    <mergeCell ref="R3:U3"/>
    <mergeCell ref="M5:N5"/>
    <mergeCell ref="O4:P4"/>
    <mergeCell ref="R4:S4"/>
    <mergeCell ref="W3:AA3"/>
    <mergeCell ref="W4:AA4"/>
  </mergeCells>
  <phoneticPr fontId="0" type="noConversion"/>
  <pageMargins left="0.75" right="0.75" top="1" bottom="1" header="0.5" footer="0.5"/>
  <pageSetup paperSize="9" orientation="landscape" horizontalDpi="300" verticalDpi="0" copies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2006-11-16T17:00:16Z</dcterms:created>
  <dcterms:modified xsi:type="dcterms:W3CDTF">2018-11-12T15:57:54Z</dcterms:modified>
  <cp:category/>
  <cp:contentStatus/>
</cp:coreProperties>
</file>