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09C\"/>
    </mc:Choice>
  </mc:AlternateContent>
  <xr:revisionPtr revIDLastSave="0" documentId="8_{9D447701-4688-44D5-8EB0-003EE98A5732}" xr6:coauthVersionLast="40" xr6:coauthVersionMax="40" xr10:uidLastSave="{00000000-0000-0000-0000-000000000000}"/>
  <bookViews>
    <workbookView xWindow="120" yWindow="75" windowWidth="11340" windowHeight="6315" firstSheet="1" activeTab="1" xr2:uid="{00000000-000D-0000-FFFF-FFFF00000000}"/>
  </bookViews>
  <sheets>
    <sheet name="Data" sheetId="1" r:id="rId1"/>
    <sheet name="Summary" sheetId="2" r:id="rId2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0" i="1" l="1"/>
  <c r="E20" i="1"/>
  <c r="G20" i="1"/>
  <c r="N20" i="1"/>
  <c r="P20" i="1"/>
  <c r="AB20" i="1"/>
  <c r="AC20" i="1"/>
  <c r="AD20" i="1"/>
  <c r="AE20" i="1"/>
  <c r="Q20" i="1"/>
  <c r="S20" i="1"/>
  <c r="U20" i="1"/>
  <c r="V20" i="1"/>
  <c r="AF20" i="1"/>
  <c r="AI20" i="1"/>
  <c r="AH20" i="1"/>
  <c r="AG20" i="1"/>
  <c r="W20" i="1"/>
  <c r="X20" i="1"/>
  <c r="Y20" i="1"/>
  <c r="Z20" i="1"/>
  <c r="AJ20" i="1"/>
  <c r="C21" i="1"/>
  <c r="E21" i="1"/>
  <c r="G21" i="1"/>
  <c r="N21" i="1"/>
  <c r="P21" i="1"/>
  <c r="AB21" i="1"/>
  <c r="AC21" i="1"/>
  <c r="AD21" i="1"/>
  <c r="AE21" i="1"/>
  <c r="Q21" i="1"/>
  <c r="S21" i="1"/>
  <c r="U21" i="1"/>
  <c r="V21" i="1"/>
  <c r="AF21" i="1"/>
  <c r="AI21" i="1"/>
  <c r="AH21" i="1"/>
  <c r="AG21" i="1"/>
  <c r="W21" i="1"/>
  <c r="X21" i="1"/>
  <c r="Y21" i="1"/>
  <c r="Z21" i="1"/>
  <c r="AJ21" i="1"/>
  <c r="C22" i="1"/>
  <c r="E22" i="1"/>
  <c r="G22" i="1"/>
  <c r="N22" i="1"/>
  <c r="P22" i="1"/>
  <c r="AB22" i="1"/>
  <c r="AC22" i="1"/>
  <c r="AD22" i="1"/>
  <c r="AE22" i="1"/>
  <c r="Q22" i="1"/>
  <c r="S22" i="1"/>
  <c r="U22" i="1"/>
  <c r="V22" i="1"/>
  <c r="AF22" i="1"/>
  <c r="AI22" i="1"/>
  <c r="AH22" i="1"/>
  <c r="AG22" i="1"/>
  <c r="W22" i="1"/>
  <c r="X22" i="1"/>
  <c r="Y22" i="1"/>
  <c r="Z22" i="1"/>
  <c r="AJ22" i="1"/>
  <c r="C23" i="1"/>
  <c r="E23" i="1"/>
  <c r="G23" i="1"/>
  <c r="N23" i="1"/>
  <c r="P23" i="1"/>
  <c r="AB23" i="1"/>
  <c r="AC23" i="1"/>
  <c r="AD23" i="1"/>
  <c r="AE23" i="1"/>
  <c r="Q23" i="1"/>
  <c r="S23" i="1"/>
  <c r="U23" i="1"/>
  <c r="V23" i="1"/>
  <c r="AF23" i="1"/>
  <c r="AI23" i="1"/>
  <c r="AH23" i="1"/>
  <c r="AG23" i="1"/>
  <c r="W23" i="1"/>
  <c r="X23" i="1"/>
  <c r="Y23" i="1"/>
  <c r="Z23" i="1"/>
  <c r="AJ23" i="1"/>
  <c r="C24" i="1"/>
  <c r="E24" i="1"/>
  <c r="G24" i="1"/>
  <c r="N24" i="1"/>
  <c r="P24" i="1"/>
  <c r="AB24" i="1"/>
  <c r="AC24" i="1"/>
  <c r="AD24" i="1"/>
  <c r="AE24" i="1"/>
  <c r="Q24" i="1"/>
  <c r="S24" i="1"/>
  <c r="U24" i="1"/>
  <c r="V24" i="1"/>
  <c r="AF24" i="1"/>
  <c r="AI24" i="1"/>
  <c r="AH24" i="1"/>
  <c r="AG24" i="1"/>
  <c r="W24" i="1"/>
  <c r="X24" i="1"/>
  <c r="Y24" i="1"/>
  <c r="Z24" i="1"/>
  <c r="AJ24" i="1"/>
  <c r="C25" i="1"/>
  <c r="E25" i="1"/>
  <c r="G25" i="1"/>
  <c r="N25" i="1"/>
  <c r="P25" i="1"/>
  <c r="AB25" i="1"/>
  <c r="AC25" i="1"/>
  <c r="AD25" i="1"/>
  <c r="AE25" i="1"/>
  <c r="Q25" i="1"/>
  <c r="S25" i="1"/>
  <c r="U25" i="1"/>
  <c r="V25" i="1"/>
  <c r="AF25" i="1"/>
  <c r="AI25" i="1"/>
  <c r="AH25" i="1"/>
  <c r="AG25" i="1"/>
  <c r="W25" i="1"/>
  <c r="X25" i="1"/>
  <c r="Y25" i="1"/>
  <c r="Z25" i="1"/>
  <c r="AJ25" i="1"/>
  <c r="C26" i="1"/>
  <c r="E26" i="1"/>
  <c r="G26" i="1"/>
  <c r="N26" i="1"/>
  <c r="P26" i="1"/>
  <c r="AB26" i="1"/>
  <c r="AC26" i="1"/>
  <c r="AD26" i="1"/>
  <c r="AE26" i="1"/>
  <c r="Q26" i="1"/>
  <c r="S26" i="1"/>
  <c r="U26" i="1"/>
  <c r="V26" i="1"/>
  <c r="AF26" i="1"/>
  <c r="AI26" i="1"/>
  <c r="AH26" i="1"/>
  <c r="AG26" i="1"/>
  <c r="W26" i="1"/>
  <c r="X26" i="1"/>
  <c r="Y26" i="1"/>
  <c r="Z26" i="1"/>
  <c r="AJ26" i="1"/>
  <c r="C27" i="1"/>
  <c r="E27" i="1"/>
  <c r="G27" i="1"/>
  <c r="N27" i="1"/>
  <c r="P27" i="1"/>
  <c r="AB27" i="1"/>
  <c r="AC27" i="1"/>
  <c r="AD27" i="1"/>
  <c r="AE27" i="1"/>
  <c r="Q27" i="1"/>
  <c r="S27" i="1"/>
  <c r="U27" i="1"/>
  <c r="V27" i="1"/>
  <c r="AF27" i="1"/>
  <c r="AI27" i="1"/>
  <c r="AH27" i="1"/>
  <c r="AG27" i="1"/>
  <c r="W27" i="1"/>
  <c r="X27" i="1"/>
  <c r="Y27" i="1"/>
  <c r="Z27" i="1"/>
  <c r="AJ27" i="1"/>
  <c r="C28" i="1"/>
  <c r="E28" i="1"/>
  <c r="G28" i="1"/>
  <c r="N28" i="1"/>
  <c r="P28" i="1"/>
  <c r="AB28" i="1"/>
  <c r="AC28" i="1"/>
  <c r="AD28" i="1"/>
  <c r="AE28" i="1"/>
  <c r="Q28" i="1"/>
  <c r="S28" i="1"/>
  <c r="U28" i="1"/>
  <c r="V28" i="1"/>
  <c r="AF28" i="1"/>
  <c r="AI28" i="1"/>
  <c r="AH28" i="1"/>
  <c r="AG28" i="1"/>
  <c r="W28" i="1"/>
  <c r="X28" i="1"/>
  <c r="Y28" i="1"/>
  <c r="Z28" i="1"/>
  <c r="AJ28" i="1"/>
  <c r="C30" i="1"/>
  <c r="E30" i="1"/>
  <c r="G30" i="1"/>
  <c r="N30" i="1"/>
  <c r="P30" i="1"/>
  <c r="AB30" i="1"/>
  <c r="AC30" i="1"/>
  <c r="AD30" i="1"/>
  <c r="AE30" i="1"/>
  <c r="Q30" i="1"/>
  <c r="S30" i="1"/>
  <c r="U30" i="1"/>
  <c r="V30" i="1"/>
  <c r="AF30" i="1"/>
  <c r="AI30" i="1"/>
  <c r="AH30" i="1"/>
  <c r="AG30" i="1"/>
  <c r="W30" i="1"/>
  <c r="X30" i="1"/>
  <c r="Y30" i="1"/>
  <c r="Z30" i="1"/>
  <c r="AJ30" i="1"/>
  <c r="C31" i="1"/>
  <c r="E31" i="1"/>
  <c r="G31" i="1"/>
  <c r="N31" i="1"/>
  <c r="P31" i="1"/>
  <c r="AB31" i="1"/>
  <c r="AC31" i="1"/>
  <c r="AD31" i="1"/>
  <c r="AE31" i="1"/>
  <c r="Q31" i="1"/>
  <c r="S31" i="1"/>
  <c r="U31" i="1"/>
  <c r="V31" i="1"/>
  <c r="AF31" i="1"/>
  <c r="AI31" i="1"/>
  <c r="AH31" i="1"/>
  <c r="AG31" i="1"/>
  <c r="W31" i="1"/>
  <c r="X31" i="1"/>
  <c r="Y31" i="1"/>
  <c r="Z31" i="1"/>
  <c r="AJ31" i="1"/>
  <c r="C32" i="1"/>
  <c r="E32" i="1"/>
  <c r="G32" i="1"/>
  <c r="N32" i="1"/>
  <c r="P32" i="1"/>
  <c r="AB32" i="1"/>
  <c r="AC32" i="1"/>
  <c r="AD32" i="1"/>
  <c r="AE32" i="1"/>
  <c r="Q32" i="1"/>
  <c r="S32" i="1"/>
  <c r="U32" i="1"/>
  <c r="V32" i="1"/>
  <c r="AF32" i="1"/>
  <c r="AI32" i="1"/>
  <c r="AH32" i="1"/>
  <c r="AG32" i="1"/>
  <c r="W32" i="1"/>
  <c r="X32" i="1"/>
  <c r="Y32" i="1"/>
  <c r="Z32" i="1"/>
  <c r="AJ32" i="1"/>
  <c r="C33" i="1"/>
  <c r="E33" i="1"/>
  <c r="G33" i="1"/>
  <c r="N33" i="1"/>
  <c r="P33" i="1"/>
  <c r="AB33" i="1"/>
  <c r="AC33" i="1"/>
  <c r="AD33" i="1"/>
  <c r="AE33" i="1"/>
  <c r="Q33" i="1"/>
  <c r="S33" i="1"/>
  <c r="U33" i="1"/>
  <c r="V33" i="1"/>
  <c r="AF33" i="1"/>
  <c r="AI33" i="1"/>
  <c r="AH33" i="1"/>
  <c r="AG33" i="1"/>
  <c r="W33" i="1"/>
  <c r="X33" i="1"/>
  <c r="Y33" i="1"/>
  <c r="Z33" i="1"/>
  <c r="AJ33" i="1"/>
  <c r="C34" i="1"/>
  <c r="E34" i="1"/>
  <c r="G34" i="1"/>
  <c r="N34" i="1"/>
  <c r="P34" i="1"/>
  <c r="AB34" i="1"/>
  <c r="AC34" i="1"/>
  <c r="AD34" i="1"/>
  <c r="AE34" i="1"/>
  <c r="Q34" i="1"/>
  <c r="S34" i="1"/>
  <c r="U34" i="1"/>
  <c r="V34" i="1"/>
  <c r="AF34" i="1"/>
  <c r="AI34" i="1"/>
  <c r="AH34" i="1"/>
  <c r="AG34" i="1"/>
  <c r="W34" i="1"/>
  <c r="X34" i="1"/>
  <c r="Y34" i="1"/>
  <c r="Z34" i="1"/>
  <c r="AJ34" i="1"/>
  <c r="C35" i="1"/>
  <c r="E35" i="1"/>
  <c r="G35" i="1"/>
  <c r="N35" i="1"/>
  <c r="P35" i="1"/>
  <c r="AB35" i="1"/>
  <c r="AC35" i="1"/>
  <c r="AD35" i="1"/>
  <c r="AE35" i="1"/>
  <c r="Q35" i="1"/>
  <c r="S35" i="1"/>
  <c r="U35" i="1"/>
  <c r="V35" i="1"/>
  <c r="AF35" i="1"/>
  <c r="AI35" i="1"/>
  <c r="AH35" i="1"/>
  <c r="AG35" i="1"/>
  <c r="W35" i="1"/>
  <c r="X35" i="1"/>
  <c r="Y35" i="1"/>
  <c r="Z35" i="1"/>
  <c r="AJ35" i="1"/>
  <c r="N38" i="1"/>
  <c r="P38" i="1"/>
  <c r="AB38" i="1"/>
  <c r="AD38" i="1"/>
  <c r="W38" i="1"/>
  <c r="AE38" i="1"/>
  <c r="AF38" i="1"/>
  <c r="Q38" i="1"/>
  <c r="S38" i="1"/>
  <c r="Z38" i="1"/>
  <c r="AC38" i="1"/>
  <c r="N39" i="1"/>
  <c r="P39" i="1"/>
  <c r="AB39" i="1"/>
  <c r="AD39" i="1"/>
  <c r="W39" i="1"/>
  <c r="AE39" i="1"/>
  <c r="AF39" i="1"/>
  <c r="Q39" i="1"/>
  <c r="S39" i="1"/>
  <c r="Z39" i="1"/>
  <c r="AC39" i="1"/>
  <c r="N40" i="1"/>
  <c r="P40" i="1"/>
  <c r="AB40" i="1"/>
  <c r="AD40" i="1"/>
  <c r="W40" i="1"/>
  <c r="AE40" i="1"/>
  <c r="AF40" i="1"/>
  <c r="Q40" i="1"/>
  <c r="S40" i="1"/>
  <c r="Z40" i="1"/>
  <c r="AC40" i="1"/>
  <c r="N41" i="1"/>
  <c r="P41" i="1"/>
  <c r="AB41" i="1"/>
  <c r="AD41" i="1"/>
  <c r="W41" i="1"/>
  <c r="AE41" i="1"/>
  <c r="AF41" i="1"/>
  <c r="Q41" i="1"/>
  <c r="S41" i="1"/>
  <c r="Z41" i="1"/>
  <c r="AC41" i="1"/>
  <c r="N42" i="1"/>
  <c r="P42" i="1"/>
  <c r="AB42" i="1"/>
  <c r="AD42" i="1"/>
  <c r="W42" i="1"/>
  <c r="AE42" i="1"/>
  <c r="AF42" i="1"/>
  <c r="Q42" i="1"/>
  <c r="S42" i="1"/>
  <c r="Z42" i="1"/>
  <c r="AC42" i="1"/>
  <c r="N43" i="1"/>
  <c r="P43" i="1"/>
  <c r="AB43" i="1"/>
  <c r="AD43" i="1"/>
  <c r="W43" i="1"/>
  <c r="AE43" i="1"/>
  <c r="AF43" i="1"/>
  <c r="Q43" i="1"/>
  <c r="S43" i="1"/>
  <c r="Z43" i="1"/>
  <c r="AC43" i="1"/>
  <c r="N44" i="1"/>
  <c r="P44" i="1"/>
  <c r="AB44" i="1"/>
  <c r="AD44" i="1"/>
  <c r="W44" i="1"/>
  <c r="AE44" i="1"/>
  <c r="AF44" i="1"/>
  <c r="Q44" i="1"/>
  <c r="S44" i="1"/>
  <c r="Z44" i="1"/>
  <c r="AC44" i="1"/>
  <c r="N45" i="1"/>
  <c r="P45" i="1"/>
  <c r="AB45" i="1"/>
  <c r="AD45" i="1"/>
  <c r="W45" i="1"/>
  <c r="AE45" i="1"/>
  <c r="AF45" i="1"/>
  <c r="Q45" i="1"/>
  <c r="S45" i="1"/>
  <c r="Z45" i="1"/>
  <c r="AC45" i="1"/>
  <c r="N46" i="1"/>
  <c r="P46" i="1"/>
  <c r="AB46" i="1"/>
  <c r="AD46" i="1"/>
  <c r="W46" i="1"/>
  <c r="AE46" i="1"/>
  <c r="AF46" i="1"/>
  <c r="Q46" i="1"/>
  <c r="S46" i="1"/>
  <c r="Z46" i="1"/>
  <c r="AC46" i="1"/>
  <c r="A8" i="2"/>
  <c r="A9" i="2"/>
  <c r="B9" i="2"/>
  <c r="C9" i="2"/>
  <c r="D9" i="2"/>
  <c r="A10" i="2"/>
  <c r="B10" i="2"/>
  <c r="C10" i="2"/>
  <c r="D10" i="2"/>
  <c r="A11" i="2"/>
  <c r="B11" i="2"/>
  <c r="C11" i="2"/>
  <c r="D11" i="2"/>
  <c r="A12" i="2"/>
  <c r="B12" i="2"/>
  <c r="C12" i="2"/>
  <c r="D12" i="2"/>
  <c r="A13" i="2"/>
  <c r="B13" i="2"/>
  <c r="C13" i="2"/>
  <c r="D13" i="2"/>
  <c r="A14" i="2"/>
  <c r="B14" i="2"/>
  <c r="C14" i="2"/>
  <c r="D14" i="2"/>
  <c r="A15" i="2"/>
  <c r="B15" i="2"/>
  <c r="C15" i="2"/>
  <c r="D15" i="2"/>
  <c r="A16" i="2"/>
  <c r="B16" i="2"/>
  <c r="C16" i="2"/>
  <c r="D16" i="2"/>
  <c r="A17" i="2"/>
  <c r="B17" i="2"/>
  <c r="C17" i="2"/>
  <c r="D17" i="2"/>
  <c r="D18" i="2"/>
  <c r="F18" i="2"/>
  <c r="D19" i="2"/>
  <c r="F19" i="2"/>
  <c r="A20" i="2"/>
  <c r="B20" i="2"/>
  <c r="C20" i="2"/>
  <c r="D20" i="2"/>
  <c r="A21" i="2"/>
  <c r="B21" i="2"/>
  <c r="C21" i="2"/>
  <c r="D21" i="2"/>
  <c r="A22" i="2"/>
  <c r="B22" i="2"/>
  <c r="C22" i="2"/>
  <c r="D22" i="2"/>
  <c r="A23" i="2"/>
  <c r="B23" i="2"/>
  <c r="C23" i="2"/>
  <c r="D23" i="2"/>
  <c r="A24" i="2"/>
  <c r="B24" i="2"/>
  <c r="C24" i="2"/>
  <c r="D24" i="2"/>
  <c r="A25" i="2"/>
  <c r="B25" i="2"/>
  <c r="C25" i="2"/>
  <c r="D25" i="2"/>
  <c r="D26" i="2"/>
  <c r="F26" i="2"/>
  <c r="D27" i="2"/>
  <c r="F27" i="2"/>
  <c r="A28" i="2"/>
  <c r="A29" i="2"/>
  <c r="B29" i="2"/>
  <c r="C29" i="2"/>
  <c r="D29" i="2"/>
  <c r="A30" i="2"/>
  <c r="B30" i="2"/>
  <c r="C30" i="2"/>
  <c r="D30" i="2"/>
  <c r="A31" i="2"/>
  <c r="B31" i="2"/>
  <c r="C31" i="2"/>
  <c r="D31" i="2"/>
  <c r="A32" i="2"/>
  <c r="B32" i="2"/>
  <c r="C32" i="2"/>
  <c r="D32" i="2"/>
  <c r="A33" i="2"/>
  <c r="B33" i="2"/>
  <c r="C33" i="2"/>
  <c r="D33" i="2"/>
  <c r="A34" i="2"/>
  <c r="B34" i="2"/>
  <c r="C34" i="2"/>
  <c r="D34" i="2"/>
  <c r="A35" i="2"/>
  <c r="B35" i="2"/>
  <c r="C35" i="2"/>
  <c r="D35" i="2"/>
  <c r="A36" i="2"/>
  <c r="B36" i="2"/>
  <c r="C36" i="2"/>
  <c r="D36" i="2"/>
  <c r="A37" i="2"/>
  <c r="B37" i="2"/>
  <c r="C37" i="2"/>
  <c r="D37" i="2"/>
  <c r="D38" i="2"/>
  <c r="F38" i="2"/>
  <c r="D39" i="2"/>
  <c r="F39" i="2"/>
  <c r="D41" i="2"/>
  <c r="F41" i="2"/>
  <c r="D42" i="2"/>
  <c r="F42" i="2"/>
</calcChain>
</file>

<file path=xl/sharedStrings.xml><?xml version="1.0" encoding="utf-8"?>
<sst xmlns="http://schemas.openxmlformats.org/spreadsheetml/2006/main" count="164" uniqueCount="101">
  <si>
    <t>m)   Short 8-sided and 16-sided and square hollow composite sections</t>
  </si>
  <si>
    <t>without Moment</t>
  </si>
  <si>
    <t>octagon</t>
  </si>
  <si>
    <t>equivalent circle, same area</t>
  </si>
  <si>
    <t>H</t>
  </si>
  <si>
    <t>b</t>
  </si>
  <si>
    <t xml:space="preserve">   Do</t>
  </si>
  <si>
    <t>t</t>
  </si>
  <si>
    <t>to</t>
  </si>
  <si>
    <t xml:space="preserve">b = H/(1 + SQRT 2) </t>
  </si>
  <si>
    <t>Circle with area equal to octagon  Do = 1.0270278 H</t>
  </si>
  <si>
    <t>For equal steel area  to = 1.0270278 t</t>
  </si>
  <si>
    <t>For 16-sided regular polygon b = H/5.0273395   Equiv. Circle Do = 1.006505 H</t>
  </si>
  <si>
    <t>DATA</t>
  </si>
  <si>
    <t>Test</t>
  </si>
  <si>
    <t>Theory Short Columns</t>
  </si>
  <si>
    <t xml:space="preserve"> &lt; ---</t>
  </si>
  <si>
    <t>subsidiary</t>
  </si>
  <si>
    <t>calcs</t>
  </si>
  <si>
    <t xml:space="preserve">      --- &gt;</t>
  </si>
  <si>
    <t>Ref. No.</t>
  </si>
  <si>
    <t>Do</t>
  </si>
  <si>
    <t>Di</t>
  </si>
  <si>
    <t>ti</t>
  </si>
  <si>
    <t>fyo</t>
  </si>
  <si>
    <t>fyi</t>
  </si>
  <si>
    <t>Eso</t>
  </si>
  <si>
    <t>Esi</t>
  </si>
  <si>
    <t>fcyl</t>
  </si>
  <si>
    <t>Ec</t>
  </si>
  <si>
    <t>Length</t>
  </si>
  <si>
    <t>L/Do</t>
  </si>
  <si>
    <t>slender</t>
  </si>
  <si>
    <t>Nmax</t>
  </si>
  <si>
    <t>Do - Di</t>
  </si>
  <si>
    <t>Nuniax</t>
  </si>
  <si>
    <t>Ncdg</t>
  </si>
  <si>
    <t>EC4</t>
  </si>
  <si>
    <t>Aso</t>
  </si>
  <si>
    <t>Asi</t>
  </si>
  <si>
    <t>Ac</t>
  </si>
  <si>
    <t>EC4exn</t>
  </si>
  <si>
    <t>λ exn</t>
  </si>
  <si>
    <t>n10</t>
  </si>
  <si>
    <t>n10*</t>
  </si>
  <si>
    <t>n20</t>
  </si>
  <si>
    <t>Chi</t>
  </si>
  <si>
    <t>mm</t>
  </si>
  <si>
    <t>Mpa</t>
  </si>
  <si>
    <t>Gpa</t>
  </si>
  <si>
    <t>kN</t>
  </si>
  <si>
    <t>Nuni</t>
  </si>
  <si>
    <t>N EC4</t>
  </si>
  <si>
    <t>mm2</t>
  </si>
  <si>
    <t>Wang et al</t>
  </si>
  <si>
    <t>Ref 105</t>
  </si>
  <si>
    <t>*</t>
  </si>
  <si>
    <r>
      <t>8-sided</t>
    </r>
    <r>
      <rPr>
        <sz val="10"/>
        <rFont val="Arial"/>
        <family val="2"/>
      </rPr>
      <t xml:space="preserve"> 1C-1</t>
    </r>
  </si>
  <si>
    <t>1C-2</t>
  </si>
  <si>
    <t>2C-1</t>
  </si>
  <si>
    <t>2C-2</t>
  </si>
  <si>
    <t>3C-1</t>
  </si>
  <si>
    <t>3C-2</t>
  </si>
  <si>
    <t>5C-1</t>
  </si>
  <si>
    <t>6C-1</t>
  </si>
  <si>
    <t>6C-2</t>
  </si>
  <si>
    <r>
      <t>16-sided</t>
    </r>
    <r>
      <rPr>
        <sz val="10"/>
        <rFont val="Arial"/>
      </rPr>
      <t xml:space="preserve"> 1B-1</t>
    </r>
  </si>
  <si>
    <t>1B-2</t>
  </si>
  <si>
    <t>5B-1</t>
  </si>
  <si>
    <t>5B-2</t>
  </si>
  <si>
    <t>6B-1</t>
  </si>
  <si>
    <t>6B-2</t>
  </si>
  <si>
    <t>Square</t>
  </si>
  <si>
    <t>L</t>
  </si>
  <si>
    <t>L/H</t>
  </si>
  <si>
    <t>slend.</t>
  </si>
  <si>
    <t>H-Di</t>
  </si>
  <si>
    <r>
      <t xml:space="preserve">(EI)e </t>
    </r>
    <r>
      <rPr>
        <sz val="10"/>
        <rFont val="Arial"/>
        <family val="2"/>
      </rPr>
      <t>GNmm2</t>
    </r>
  </si>
  <si>
    <r>
      <t xml:space="preserve">Ncr </t>
    </r>
    <r>
      <rPr>
        <sz val="10"/>
        <rFont val="Arial"/>
        <family val="2"/>
      </rPr>
      <t>kN</t>
    </r>
  </si>
  <si>
    <t>1D-1</t>
  </si>
  <si>
    <t>1D-2</t>
  </si>
  <si>
    <t>2D-1</t>
  </si>
  <si>
    <t>2D-2</t>
  </si>
  <si>
    <t>3D-1</t>
  </si>
  <si>
    <t>5D-1</t>
  </si>
  <si>
    <t>5D-2</t>
  </si>
  <si>
    <t>6D-1</t>
  </si>
  <si>
    <t>6D-2</t>
  </si>
  <si>
    <t>m)   short 8-sided and 16-sided and square hollow composite sections</t>
  </si>
  <si>
    <t>for 8 and 16-sided sections EC4</t>
  </si>
  <si>
    <t>SUMMARY</t>
  </si>
  <si>
    <t>is for an equivalent circular section</t>
  </si>
  <si>
    <t xml:space="preserve">  Test   </t>
  </si>
  <si>
    <t>Ref No.</t>
  </si>
  <si>
    <t>Wang's</t>
  </si>
  <si>
    <t>analysis</t>
  </si>
  <si>
    <t>Av (9) =</t>
  </si>
  <si>
    <t>St Dev =</t>
  </si>
  <si>
    <t>Av (6) =</t>
  </si>
  <si>
    <t xml:space="preserve">OA </t>
  </si>
  <si>
    <t>Av (24)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</si>
</sst>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right"/>
    </xf>
    <xf numFmtId="165" fontId="3" fillId="0" borderId="0" xfId="0" applyNumberFormat="1" applyFont="1" applyAlignment="1">
      <alignment horizontal="right"/>
    </xf>
    <xf numFmtId="2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4</xdr:row>
      <xdr:rowOff>85725</xdr:rowOff>
    </xdr:from>
    <xdr:to>
      <xdr:col>6</xdr:col>
      <xdr:colOff>47625</xdr:colOff>
      <xdr:row>10</xdr:row>
      <xdr:rowOff>104775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6E4A5B8C-0AA0-408D-868F-D46C5BBF1A40}"/>
            </a:ext>
          </a:extLst>
        </xdr:cNvPr>
        <xdr:cNvSpPr>
          <a:spLocks noChangeArrowheads="1"/>
        </xdr:cNvSpPr>
      </xdr:nvSpPr>
      <xdr:spPr bwMode="auto">
        <a:xfrm>
          <a:off x="2266950" y="733425"/>
          <a:ext cx="1000125" cy="990600"/>
        </a:xfrm>
        <a:prstGeom prst="octagon">
          <a:avLst>
            <a:gd name="adj" fmla="val 2928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Di</a:t>
          </a:r>
        </a:p>
      </xdr:txBody>
    </xdr:sp>
    <xdr:clientData/>
  </xdr:twoCellAnchor>
  <xdr:twoCellAnchor>
    <xdr:from>
      <xdr:col>8</xdr:col>
      <xdr:colOff>38100</xdr:colOff>
      <xdr:row>4</xdr:row>
      <xdr:rowOff>47625</xdr:rowOff>
    </xdr:from>
    <xdr:to>
      <xdr:col>10</xdr:col>
      <xdr:colOff>180975</xdr:colOff>
      <xdr:row>10</xdr:row>
      <xdr:rowOff>123825</xdr:rowOff>
    </xdr:to>
    <xdr:sp macro="" textlink="">
      <xdr:nvSpPr>
        <xdr:cNvPr id="1030" name="Oval 6">
          <a:extLst>
            <a:ext uri="{FF2B5EF4-FFF2-40B4-BE49-F238E27FC236}">
              <a16:creationId xmlns:a16="http://schemas.microsoft.com/office/drawing/2014/main" id="{647007E5-1D7D-47D8-AAF9-49DB4EEE177B}"/>
            </a:ext>
          </a:extLst>
        </xdr:cNvPr>
        <xdr:cNvSpPr>
          <a:spLocks noChangeArrowheads="1"/>
        </xdr:cNvSpPr>
      </xdr:nvSpPr>
      <xdr:spPr bwMode="auto">
        <a:xfrm>
          <a:off x="4152900" y="695325"/>
          <a:ext cx="1038225" cy="10477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295275</xdr:colOff>
      <xdr:row>6</xdr:row>
      <xdr:rowOff>85725</xdr:rowOff>
    </xdr:from>
    <xdr:to>
      <xdr:col>5</xdr:col>
      <xdr:colOff>123825</xdr:colOff>
      <xdr:row>8</xdr:row>
      <xdr:rowOff>76200</xdr:rowOff>
    </xdr:to>
    <xdr:sp macro="" textlink="">
      <xdr:nvSpPr>
        <xdr:cNvPr id="1033" name="Oval 9">
          <a:extLst>
            <a:ext uri="{FF2B5EF4-FFF2-40B4-BE49-F238E27FC236}">
              <a16:creationId xmlns:a16="http://schemas.microsoft.com/office/drawing/2014/main" id="{08FC55AC-5F35-4272-BFBF-2310E89DF4F7}"/>
            </a:ext>
          </a:extLst>
        </xdr:cNvPr>
        <xdr:cNvSpPr>
          <a:spLocks noChangeArrowheads="1"/>
        </xdr:cNvSpPr>
      </xdr:nvSpPr>
      <xdr:spPr bwMode="auto">
        <a:xfrm>
          <a:off x="2619375" y="1057275"/>
          <a:ext cx="276225" cy="3143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419100</xdr:colOff>
      <xdr:row>6</xdr:row>
      <xdr:rowOff>85725</xdr:rowOff>
    </xdr:from>
    <xdr:to>
      <xdr:col>9</xdr:col>
      <xdr:colOff>247650</xdr:colOff>
      <xdr:row>8</xdr:row>
      <xdr:rowOff>76200</xdr:rowOff>
    </xdr:to>
    <xdr:sp macro="" textlink="">
      <xdr:nvSpPr>
        <xdr:cNvPr id="1034" name="Oval 10">
          <a:extLst>
            <a:ext uri="{FF2B5EF4-FFF2-40B4-BE49-F238E27FC236}">
              <a16:creationId xmlns:a16="http://schemas.microsoft.com/office/drawing/2014/main" id="{17CF8E68-ECBD-4D7F-86D8-C670164AEC15}"/>
            </a:ext>
          </a:extLst>
        </xdr:cNvPr>
        <xdr:cNvSpPr>
          <a:spLocks noChangeArrowheads="1"/>
        </xdr:cNvSpPr>
      </xdr:nvSpPr>
      <xdr:spPr bwMode="auto">
        <a:xfrm>
          <a:off x="4533900" y="1057275"/>
          <a:ext cx="276225" cy="3143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  <xdr:twoCellAnchor>
    <xdr:from>
      <xdr:col>3</xdr:col>
      <xdr:colOff>114300</xdr:colOff>
      <xdr:row>4</xdr:row>
      <xdr:rowOff>85725</xdr:rowOff>
    </xdr:from>
    <xdr:to>
      <xdr:col>3</xdr:col>
      <xdr:colOff>114300</xdr:colOff>
      <xdr:row>10</xdr:row>
      <xdr:rowOff>123825</xdr:rowOff>
    </xdr:to>
    <xdr:sp macro="" textlink="">
      <xdr:nvSpPr>
        <xdr:cNvPr id="1036" name="Line 12">
          <a:extLst>
            <a:ext uri="{FF2B5EF4-FFF2-40B4-BE49-F238E27FC236}">
              <a16:creationId xmlns:a16="http://schemas.microsoft.com/office/drawing/2014/main" id="{9831ACD7-40CC-4333-96AD-6A412F767605}"/>
            </a:ext>
          </a:extLst>
        </xdr:cNvPr>
        <xdr:cNvSpPr>
          <a:spLocks noChangeShapeType="1"/>
        </xdr:cNvSpPr>
      </xdr:nvSpPr>
      <xdr:spPr bwMode="auto">
        <a:xfrm>
          <a:off x="1990725" y="733425"/>
          <a:ext cx="0" cy="1009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152400</xdr:colOff>
      <xdr:row>6</xdr:row>
      <xdr:rowOff>66675</xdr:rowOff>
    </xdr:from>
    <xdr:to>
      <xdr:col>6</xdr:col>
      <xdr:colOff>152400</xdr:colOff>
      <xdr:row>8</xdr:row>
      <xdr:rowOff>114300</xdr:rowOff>
    </xdr:to>
    <xdr:sp macro="" textlink="">
      <xdr:nvSpPr>
        <xdr:cNvPr id="1037" name="Line 13">
          <a:extLst>
            <a:ext uri="{FF2B5EF4-FFF2-40B4-BE49-F238E27FC236}">
              <a16:creationId xmlns:a16="http://schemas.microsoft.com/office/drawing/2014/main" id="{34FE0DC5-05AB-409F-97C4-2F67A4A2221F}"/>
            </a:ext>
          </a:extLst>
        </xdr:cNvPr>
        <xdr:cNvSpPr>
          <a:spLocks noChangeShapeType="1"/>
        </xdr:cNvSpPr>
      </xdr:nvSpPr>
      <xdr:spPr bwMode="auto">
        <a:xfrm>
          <a:off x="3371850" y="1038225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342900</xdr:colOff>
      <xdr:row>4</xdr:row>
      <xdr:rowOff>76200</xdr:rowOff>
    </xdr:from>
    <xdr:to>
      <xdr:col>7</xdr:col>
      <xdr:colOff>342900</xdr:colOff>
      <xdr:row>10</xdr:row>
      <xdr:rowOff>104775</xdr:rowOff>
    </xdr:to>
    <xdr:sp macro="" textlink="">
      <xdr:nvSpPr>
        <xdr:cNvPr id="1038" name="Line 14">
          <a:extLst>
            <a:ext uri="{FF2B5EF4-FFF2-40B4-BE49-F238E27FC236}">
              <a16:creationId xmlns:a16="http://schemas.microsoft.com/office/drawing/2014/main" id="{5BE95A9B-EE56-40DE-8907-BC0341963E88}"/>
            </a:ext>
          </a:extLst>
        </xdr:cNvPr>
        <xdr:cNvSpPr>
          <a:spLocks noChangeShapeType="1"/>
        </xdr:cNvSpPr>
      </xdr:nvSpPr>
      <xdr:spPr bwMode="auto">
        <a:xfrm>
          <a:off x="4010025" y="723900"/>
          <a:ext cx="0" cy="1000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6</xdr:row>
      <xdr:rowOff>76200</xdr:rowOff>
    </xdr:from>
    <xdr:to>
      <xdr:col>4</xdr:col>
      <xdr:colOff>171450</xdr:colOff>
      <xdr:row>8</xdr:row>
      <xdr:rowOff>76200</xdr:rowOff>
    </xdr:to>
    <xdr:sp macro="" textlink="">
      <xdr:nvSpPr>
        <xdr:cNvPr id="1041" name="Line 17">
          <a:extLst>
            <a:ext uri="{FF2B5EF4-FFF2-40B4-BE49-F238E27FC236}">
              <a16:creationId xmlns:a16="http://schemas.microsoft.com/office/drawing/2014/main" id="{CAB2FFBB-B1BC-45F7-8069-6A06B8F8FAEC}"/>
            </a:ext>
          </a:extLst>
        </xdr:cNvPr>
        <xdr:cNvSpPr>
          <a:spLocks noChangeShapeType="1"/>
        </xdr:cNvSpPr>
      </xdr:nvSpPr>
      <xdr:spPr bwMode="auto">
        <a:xfrm>
          <a:off x="2495550" y="1047750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390525</xdr:colOff>
      <xdr:row>9</xdr:row>
      <xdr:rowOff>85725</xdr:rowOff>
    </xdr:from>
    <xdr:to>
      <xdr:col>6</xdr:col>
      <xdr:colOff>171450</xdr:colOff>
      <xdr:row>10</xdr:row>
      <xdr:rowOff>66675</xdr:rowOff>
    </xdr:to>
    <xdr:sp macro="" textlink="">
      <xdr:nvSpPr>
        <xdr:cNvPr id="1043" name="Line 19">
          <a:extLst>
            <a:ext uri="{FF2B5EF4-FFF2-40B4-BE49-F238E27FC236}">
              <a16:creationId xmlns:a16="http://schemas.microsoft.com/office/drawing/2014/main" id="{B5D17B37-80B7-400E-A5C5-7D3B1B00D00C}"/>
            </a:ext>
          </a:extLst>
        </xdr:cNvPr>
        <xdr:cNvSpPr>
          <a:spLocks noChangeShapeType="1"/>
        </xdr:cNvSpPr>
      </xdr:nvSpPr>
      <xdr:spPr bwMode="auto">
        <a:xfrm flipH="1" flipV="1">
          <a:off x="3162300" y="1543050"/>
          <a:ext cx="22860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9</xdr:row>
      <xdr:rowOff>76200</xdr:rowOff>
    </xdr:from>
    <xdr:to>
      <xdr:col>10</xdr:col>
      <xdr:colOff>295275</xdr:colOff>
      <xdr:row>10</xdr:row>
      <xdr:rowOff>38100</xdr:rowOff>
    </xdr:to>
    <xdr:sp macro="" textlink="">
      <xdr:nvSpPr>
        <xdr:cNvPr id="1044" name="Line 20">
          <a:extLst>
            <a:ext uri="{FF2B5EF4-FFF2-40B4-BE49-F238E27FC236}">
              <a16:creationId xmlns:a16="http://schemas.microsoft.com/office/drawing/2014/main" id="{FF66A9D3-07F8-4C66-A865-3D398391FBDD}"/>
            </a:ext>
          </a:extLst>
        </xdr:cNvPr>
        <xdr:cNvSpPr>
          <a:spLocks noChangeShapeType="1"/>
        </xdr:cNvSpPr>
      </xdr:nvSpPr>
      <xdr:spPr bwMode="auto">
        <a:xfrm flipH="1" flipV="1">
          <a:off x="5076825" y="1533525"/>
          <a:ext cx="228600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6"/>
  <sheetViews>
    <sheetView workbookViewId="0" xr3:uid="{AEA406A1-0E4B-5B11-9CD5-51D6E497D94C}">
      <pane xSplit="1" ySplit="18" topLeftCell="B38" activePane="bottomRight" state="frozen"/>
      <selection pane="bottomRight" activeCell="W38" sqref="W38"/>
      <selection pane="bottomLeft" activeCell="A19" sqref="A19"/>
      <selection pane="topRight" activeCell="B1" sqref="B1"/>
    </sheetView>
  </sheetViews>
  <sheetFormatPr defaultRowHeight="12.75"/>
  <cols>
    <col min="1" max="1" width="14.7109375" customWidth="1"/>
    <col min="2" max="27" width="6.7109375" customWidth="1"/>
    <col min="31" max="31" width="11" bestFit="1" customWidth="1"/>
  </cols>
  <sheetData>
    <row r="1" spans="1:36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36">
      <c r="A2" s="17" t="s">
        <v>1</v>
      </c>
      <c r="B2" s="17"/>
      <c r="C2" s="17"/>
      <c r="D2" s="17"/>
      <c r="E2" s="17"/>
      <c r="F2" s="17"/>
      <c r="G2" s="17"/>
    </row>
    <row r="3" spans="1:36">
      <c r="A3" s="15"/>
      <c r="B3" s="15"/>
      <c r="C3" s="15"/>
      <c r="D3" s="15"/>
      <c r="E3" s="17" t="s">
        <v>2</v>
      </c>
      <c r="F3" s="17"/>
      <c r="G3" s="15"/>
      <c r="I3" s="17" t="s">
        <v>3</v>
      </c>
      <c r="J3" s="17"/>
      <c r="K3" s="17"/>
      <c r="L3" s="17"/>
    </row>
    <row r="4" spans="1:36">
      <c r="A4" s="15"/>
      <c r="B4" s="15"/>
      <c r="C4" s="15"/>
      <c r="D4" s="15"/>
      <c r="E4" s="15"/>
      <c r="F4" s="15"/>
      <c r="G4" s="15"/>
    </row>
    <row r="5" spans="1:36">
      <c r="A5" s="15"/>
      <c r="B5" s="15"/>
      <c r="C5" s="15"/>
      <c r="D5" s="15"/>
      <c r="E5" s="15"/>
      <c r="F5" s="15"/>
      <c r="G5" s="15"/>
    </row>
    <row r="6" spans="1:36">
      <c r="A6" s="15"/>
      <c r="B6" s="15"/>
      <c r="C6" s="15"/>
      <c r="D6" s="15"/>
      <c r="E6" s="15"/>
      <c r="F6" s="15"/>
      <c r="G6" s="15"/>
    </row>
    <row r="7" spans="1:36">
      <c r="A7" s="15"/>
      <c r="B7" s="15"/>
      <c r="C7" s="15"/>
      <c r="D7" s="15"/>
      <c r="E7" s="15"/>
      <c r="F7" s="15"/>
      <c r="G7" s="15"/>
    </row>
    <row r="8" spans="1:36">
      <c r="A8" s="15"/>
      <c r="B8" s="15"/>
      <c r="C8" s="15"/>
      <c r="D8" s="15" t="s">
        <v>4</v>
      </c>
      <c r="E8" s="15"/>
      <c r="F8" s="15"/>
      <c r="G8" s="15" t="s">
        <v>5</v>
      </c>
      <c r="H8" s="10" t="s">
        <v>6</v>
      </c>
    </row>
    <row r="9" spans="1:36">
      <c r="A9" s="15"/>
      <c r="B9" s="15"/>
      <c r="C9" s="15"/>
      <c r="D9" s="15"/>
      <c r="E9" s="15"/>
      <c r="F9" s="15"/>
      <c r="G9" s="15"/>
    </row>
    <row r="10" spans="1:36">
      <c r="A10" s="15"/>
      <c r="B10" s="15"/>
      <c r="C10" s="15"/>
      <c r="D10" s="15"/>
      <c r="E10" s="15"/>
      <c r="F10" s="15"/>
      <c r="G10" s="15"/>
    </row>
    <row r="11" spans="1:36">
      <c r="G11" s="15" t="s">
        <v>7</v>
      </c>
      <c r="K11" s="9" t="s">
        <v>8</v>
      </c>
    </row>
    <row r="12" spans="1:36">
      <c r="D12" s="18" t="s">
        <v>9</v>
      </c>
      <c r="E12" s="18"/>
      <c r="F12" s="18"/>
      <c r="G12" s="18" t="s">
        <v>10</v>
      </c>
      <c r="H12" s="18"/>
      <c r="I12" s="18"/>
      <c r="J12" s="18"/>
      <c r="K12" s="18"/>
      <c r="L12" s="18"/>
      <c r="M12" s="18"/>
      <c r="N12" s="18" t="s">
        <v>11</v>
      </c>
      <c r="O12" s="18"/>
      <c r="P12" s="18"/>
      <c r="Q12" s="18"/>
      <c r="R12" s="18"/>
    </row>
    <row r="13" spans="1:36"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36">
      <c r="D14" s="18" t="s">
        <v>12</v>
      </c>
      <c r="E14" s="18"/>
      <c r="F14" s="18"/>
      <c r="G14" s="18"/>
      <c r="H14" s="18"/>
      <c r="I14" s="18"/>
      <c r="J14" s="18"/>
      <c r="K14" s="18"/>
      <c r="L14" s="18"/>
      <c r="M14" s="18"/>
      <c r="N14" s="18" t="s">
        <v>11</v>
      </c>
      <c r="O14" s="18"/>
      <c r="P14" s="18"/>
      <c r="Q14" s="18"/>
      <c r="R14" s="18"/>
    </row>
    <row r="15" spans="1:36">
      <c r="A15" s="15" t="s">
        <v>13</v>
      </c>
      <c r="B15" s="15"/>
      <c r="C15" s="15"/>
      <c r="D15" s="15"/>
    </row>
    <row r="16" spans="1:36">
      <c r="R16" s="15" t="s">
        <v>14</v>
      </c>
      <c r="S16" s="15"/>
      <c r="U16" s="18" t="s">
        <v>15</v>
      </c>
      <c r="V16" s="18"/>
      <c r="W16" s="18"/>
      <c r="X16" s="16"/>
      <c r="Y16" s="16"/>
      <c r="Z16" s="16"/>
      <c r="AB16" t="s">
        <v>16</v>
      </c>
      <c r="AC16" t="s">
        <v>17</v>
      </c>
      <c r="AD16" t="s">
        <v>18</v>
      </c>
      <c r="AJ16" t="s">
        <v>19</v>
      </c>
    </row>
    <row r="17" spans="1:36" s="1" customFormat="1">
      <c r="A17" s="15" t="s">
        <v>20</v>
      </c>
      <c r="B17" s="15" t="s">
        <v>5</v>
      </c>
      <c r="C17" s="15" t="s">
        <v>4</v>
      </c>
      <c r="D17" s="15" t="s">
        <v>7</v>
      </c>
      <c r="E17" s="15" t="s">
        <v>21</v>
      </c>
      <c r="F17" s="15" t="s">
        <v>22</v>
      </c>
      <c r="G17" s="15" t="s">
        <v>8</v>
      </c>
      <c r="H17" s="15" t="s">
        <v>23</v>
      </c>
      <c r="I17" s="15" t="s">
        <v>24</v>
      </c>
      <c r="J17" s="15" t="s">
        <v>25</v>
      </c>
      <c r="K17" s="15" t="s">
        <v>26</v>
      </c>
      <c r="L17" s="15" t="s">
        <v>27</v>
      </c>
      <c r="M17" s="15" t="s">
        <v>28</v>
      </c>
      <c r="N17" s="15" t="s">
        <v>29</v>
      </c>
      <c r="O17" s="15" t="s">
        <v>30</v>
      </c>
      <c r="P17" s="15" t="s">
        <v>31</v>
      </c>
      <c r="Q17" s="15" t="s">
        <v>32</v>
      </c>
      <c r="R17" s="15" t="s">
        <v>33</v>
      </c>
      <c r="S17" s="15" t="s">
        <v>34</v>
      </c>
      <c r="T17" s="15"/>
      <c r="U17" s="15" t="s">
        <v>35</v>
      </c>
      <c r="V17" s="15" t="s">
        <v>36</v>
      </c>
      <c r="W17" s="15" t="s">
        <v>37</v>
      </c>
      <c r="X17" s="2" t="s">
        <v>14</v>
      </c>
      <c r="Y17" s="2" t="s">
        <v>14</v>
      </c>
      <c r="Z17" s="2" t="s">
        <v>14</v>
      </c>
      <c r="AA17" s="15"/>
      <c r="AB17" s="3" t="s">
        <v>38</v>
      </c>
      <c r="AC17" s="3" t="s">
        <v>39</v>
      </c>
      <c r="AD17" s="3" t="s">
        <v>40</v>
      </c>
      <c r="AE17" s="3" t="s">
        <v>41</v>
      </c>
      <c r="AF17" s="3" t="s">
        <v>42</v>
      </c>
      <c r="AG17" s="3" t="s">
        <v>43</v>
      </c>
      <c r="AH17" s="3" t="s">
        <v>44</v>
      </c>
      <c r="AI17" s="3" t="s">
        <v>45</v>
      </c>
      <c r="AJ17" s="3" t="s">
        <v>46</v>
      </c>
    </row>
    <row r="18" spans="1:36" s="1" customFormat="1">
      <c r="A18" s="15"/>
      <c r="B18" s="15" t="s">
        <v>47</v>
      </c>
      <c r="C18" s="15" t="s">
        <v>47</v>
      </c>
      <c r="D18" s="15" t="s">
        <v>47</v>
      </c>
      <c r="E18" s="15" t="s">
        <v>47</v>
      </c>
      <c r="F18" s="15" t="s">
        <v>47</v>
      </c>
      <c r="G18" s="15" t="s">
        <v>47</v>
      </c>
      <c r="H18" s="15" t="s">
        <v>47</v>
      </c>
      <c r="I18" s="15" t="s">
        <v>48</v>
      </c>
      <c r="J18" s="15" t="s">
        <v>48</v>
      </c>
      <c r="K18" s="15" t="s">
        <v>49</v>
      </c>
      <c r="L18" s="15" t="s">
        <v>49</v>
      </c>
      <c r="M18" s="15" t="s">
        <v>48</v>
      </c>
      <c r="N18" s="15" t="s">
        <v>49</v>
      </c>
      <c r="O18" s="15" t="s">
        <v>47</v>
      </c>
      <c r="P18" s="15"/>
      <c r="Q18" s="15"/>
      <c r="R18" s="15" t="s">
        <v>50</v>
      </c>
      <c r="S18" s="15" t="s">
        <v>47</v>
      </c>
      <c r="T18" s="15"/>
      <c r="U18" s="15" t="s">
        <v>50</v>
      </c>
      <c r="V18" s="15" t="s">
        <v>50</v>
      </c>
      <c r="W18" s="15" t="s">
        <v>50</v>
      </c>
      <c r="X18" s="15" t="s">
        <v>51</v>
      </c>
      <c r="Y18" s="15" t="s">
        <v>36</v>
      </c>
      <c r="Z18" s="15" t="s">
        <v>52</v>
      </c>
      <c r="AA18" s="15"/>
      <c r="AB18" s="3" t="s">
        <v>53</v>
      </c>
      <c r="AC18" s="3" t="s">
        <v>53</v>
      </c>
      <c r="AD18" s="3" t="s">
        <v>53</v>
      </c>
      <c r="AE18" s="3" t="s">
        <v>50</v>
      </c>
      <c r="AF18" s="15"/>
      <c r="AG18" s="15"/>
      <c r="AH18" s="15"/>
      <c r="AI18" s="15"/>
      <c r="AJ18" s="15"/>
    </row>
    <row r="19" spans="1:36">
      <c r="A19" s="15" t="s">
        <v>54</v>
      </c>
      <c r="B19" s="15">
        <v>2006</v>
      </c>
      <c r="C19" s="3" t="s">
        <v>55</v>
      </c>
      <c r="E19" s="15"/>
      <c r="F19" s="16"/>
      <c r="K19" s="15" t="s">
        <v>56</v>
      </c>
      <c r="N19" s="15" t="s">
        <v>56</v>
      </c>
    </row>
    <row r="20" spans="1:36">
      <c r="A20" s="9" t="s">
        <v>57</v>
      </c>
      <c r="B20" s="12">
        <v>118.9</v>
      </c>
      <c r="C20" s="12">
        <f>(1+SQRT(2))*B20</f>
        <v>287.049992566161</v>
      </c>
      <c r="D20" s="4">
        <v>2.5</v>
      </c>
      <c r="E20" s="7">
        <f>1.0270278*C20</f>
        <v>294.80832235524065</v>
      </c>
      <c r="F20" s="7">
        <v>223</v>
      </c>
      <c r="G20" s="5">
        <f>1.0270278*D20</f>
        <v>2.5675694999999998</v>
      </c>
      <c r="H20">
        <v>0</v>
      </c>
      <c r="I20">
        <v>334.6</v>
      </c>
      <c r="J20">
        <v>0</v>
      </c>
      <c r="K20">
        <v>200</v>
      </c>
      <c r="L20">
        <v>0</v>
      </c>
      <c r="M20">
        <v>32.4</v>
      </c>
      <c r="N20" s="7">
        <f>22*((M20+8)/10)^0.3</f>
        <v>33.445453596870408</v>
      </c>
      <c r="O20">
        <v>900</v>
      </c>
      <c r="P20" s="5">
        <f>O20/E20</f>
        <v>3.0528310490350075</v>
      </c>
      <c r="Q20" s="6">
        <f>ROUND(SQRT((64*AE20*O20*O20)/(PI()^3*((E20^4-(E20-2*G20)^4)*K20+((F20+2*H20)^4-F20^4)*L20+((E20-2*G20)^4-(F20+2*H20)^4)*N20*0.6/1.35))),2)</f>
        <v>0.13</v>
      </c>
      <c r="R20" s="8">
        <v>2100</v>
      </c>
      <c r="S20">
        <f>E20-F20</f>
        <v>71.808322355240648</v>
      </c>
      <c r="U20" s="8">
        <f>ROUND((I20*AB20+J20*AC20+0.85*M20*AD20)/1000,0)</f>
        <v>1528</v>
      </c>
      <c r="V20">
        <f>ROUND((0.85*M20*AD20+6*G20*I20*AD20/(E20-2*G20)+(J20+2*H20*(F20+2*H20)/(E20-2*G20))*AC20)/1000,0)</f>
        <v>1217</v>
      </c>
      <c r="W20">
        <f>ROUND(0.001*(AI20*I20*AB20+AI20*J20*AC20+M20*AD20*(1+AG20*G20*(I20+J20)/(E20*2*M20))),0)</f>
        <v>1623</v>
      </c>
      <c r="X20" s="5">
        <f>R20/U20</f>
        <v>1.37434554973822</v>
      </c>
      <c r="Y20" s="5">
        <f>R20/V20</f>
        <v>1.7255546425636812</v>
      </c>
      <c r="Z20" s="5">
        <f>R20/W20</f>
        <v>1.2939001848428835</v>
      </c>
      <c r="AB20">
        <f>0.25*PI()*(E20*E20-(E20-2*G20)^2)</f>
        <v>2357.2891583232322</v>
      </c>
      <c r="AC20">
        <f>0.25*PI()*((F20+2*H20)^2-F20*F20)</f>
        <v>0</v>
      </c>
      <c r="AD20">
        <f>0.25*PI()*((E20-2*G20)^2-(F20+2*H20)^2)</f>
        <v>26846.129070134037</v>
      </c>
      <c r="AE20">
        <f>0.001*(I20*AB20+J20*AC20+M20*AD20)</f>
        <v>1658.5635342472965</v>
      </c>
      <c r="AF20">
        <f>SQRT((64*AE20*O20*O20)/(PI()^3*((E20^4-(E20-2*G20)^4)*K20+((F20+2*H20)^4-F20^4)*L20+((E20-2*G20)^4-(F20+2*H20)^4)*N20*0.6)))</f>
        <v>0.11949219848718209</v>
      </c>
      <c r="AG20">
        <f>IF(Q20&gt;0.5,0,AH20)</f>
        <v>2.9321268814752339</v>
      </c>
      <c r="AH20">
        <f>IF((4.9-18.5*AF20+17*AF20*AF20)&lt;0,0,(4.9-18.5*AF20+17*AF20*AF20))</f>
        <v>2.9321268814752339</v>
      </c>
      <c r="AI20">
        <f>IF((0.25*(3+2*AF20))&gt;1,1,(0.25*(3+2*AF20)))</f>
        <v>0.80974609924359109</v>
      </c>
      <c r="AJ20">
        <f>IF(Q20&lt;0.2,1,(1/((0.5*(1+0.21*(Q20-0.2)+Q20*Q20))+SQRT((0.5*(1+0.21*(Q20-0.2)+Q20*Q20)^2-Q20*Q20)))))</f>
        <v>1</v>
      </c>
    </row>
    <row r="21" spans="1:36">
      <c r="A21" s="4" t="s">
        <v>58</v>
      </c>
      <c r="B21" s="7">
        <v>118.9</v>
      </c>
      <c r="C21" s="12">
        <f t="shared" ref="C21:C28" si="0">(1+SQRT(2))*B21</f>
        <v>287.049992566161</v>
      </c>
      <c r="D21">
        <v>2.5</v>
      </c>
      <c r="E21" s="7">
        <f t="shared" ref="E21:E28" si="1">1.0270278*C21</f>
        <v>294.80832235524065</v>
      </c>
      <c r="F21" s="7">
        <v>223</v>
      </c>
      <c r="G21" s="5">
        <f t="shared" ref="G21:G35" si="2">1.0270278*D21</f>
        <v>2.5675694999999998</v>
      </c>
      <c r="H21">
        <v>0</v>
      </c>
      <c r="I21">
        <v>334.6</v>
      </c>
      <c r="J21">
        <v>0</v>
      </c>
      <c r="K21">
        <v>200</v>
      </c>
      <c r="L21">
        <v>0</v>
      </c>
      <c r="M21">
        <v>32.4</v>
      </c>
      <c r="N21" s="7">
        <f t="shared" ref="N21:N35" si="3">22*((M21+8)/10)^0.3</f>
        <v>33.445453596870408</v>
      </c>
      <c r="O21">
        <v>900</v>
      </c>
      <c r="P21" s="5">
        <f t="shared" ref="P21:P28" si="4">O21/E21</f>
        <v>3.0528310490350075</v>
      </c>
      <c r="Q21" s="6">
        <f t="shared" ref="Q21:Q28" si="5">ROUND(SQRT((64*AE21*O21*O21)/(PI()^3*((E21^4-(E21-2*G21)^4)*K21+((F21+2*H21)^4-F21^4)*L21+((E21-2*G21)^4-(F21+2*H21)^4)*N21*0.6/1.35))),2)</f>
        <v>0.13</v>
      </c>
      <c r="R21">
        <v>1830</v>
      </c>
      <c r="S21">
        <f t="shared" ref="S21:S35" si="6">E21-F21</f>
        <v>71.808322355240648</v>
      </c>
      <c r="U21" s="8">
        <f t="shared" ref="U21:U28" si="7">ROUND((I21*AB21+J21*AC21+0.85*M21*AD21)/1000,0)</f>
        <v>1528</v>
      </c>
      <c r="V21">
        <f t="shared" ref="V21:V28" si="8">ROUND((0.85*M21*AD21+6*G21*I21*AD21/(E21-2*G21)+(J21+2*H21*(F21+2*H21)/(E21-2*G21))*AC21)/1000,0)</f>
        <v>1217</v>
      </c>
      <c r="W21">
        <f t="shared" ref="W21:W28" si="9">ROUND(0.001*(AI21*I21*AB21+AI21*J21*AC21+M21*AD21*(1+AG21*G21*(I21+J21)/(E21*2*M21))),0)</f>
        <v>1623</v>
      </c>
      <c r="X21" s="5">
        <f t="shared" ref="X21:X28" si="10">R21/U21</f>
        <v>1.1976439790575917</v>
      </c>
      <c r="Y21" s="5">
        <f t="shared" ref="Y21:Y28" si="11">R21/V21</f>
        <v>1.503697617091208</v>
      </c>
      <c r="Z21" s="5">
        <f t="shared" ref="Z21:Z28" si="12">R21/W21</f>
        <v>1.1275415896487986</v>
      </c>
      <c r="AB21">
        <f t="shared" ref="AB21:AB28" si="13">0.25*PI()*(E21*E21-(E21-2*G21)^2)</f>
        <v>2357.2891583232322</v>
      </c>
      <c r="AC21">
        <f t="shared" ref="AC21:AC28" si="14">0.25*PI()*((F21+2*H21)^2-F21*F21)</f>
        <v>0</v>
      </c>
      <c r="AD21">
        <f t="shared" ref="AD21:AD28" si="15">0.25*PI()*((E21-2*G21)^2-(F21+2*H21)^2)</f>
        <v>26846.129070134037</v>
      </c>
      <c r="AE21">
        <f t="shared" ref="AE21:AE28" si="16">0.001*(I21*AB21+J21*AC21+M21*AD21)</f>
        <v>1658.5635342472965</v>
      </c>
      <c r="AF21">
        <f t="shared" ref="AF21:AF28" si="17">SQRT((64*AE21*O21*O21)/(PI()^3*((E21^4-(E21-2*G21)^4)*K21+((F21+2*H21)^4-F21^4)*L21+((E21-2*G21)^4-(F21+2*H21)^4)*N21*0.6)))</f>
        <v>0.11949219848718209</v>
      </c>
      <c r="AG21">
        <f t="shared" ref="AG21:AG28" si="18">IF(Q21&gt;0.5,0,AH21)</f>
        <v>2.9321268814752339</v>
      </c>
      <c r="AH21">
        <f t="shared" ref="AH21:AH28" si="19">IF((4.9-18.5*AF21+17*AF21*AF21)&lt;0,0,(4.9-18.5*AF21+17*AF21*AF21))</f>
        <v>2.9321268814752339</v>
      </c>
      <c r="AI21">
        <f t="shared" ref="AI21:AI28" si="20">IF((0.25*(3+2*AF21))&gt;1,1,(0.25*(3+2*AF21)))</f>
        <v>0.80974609924359109</v>
      </c>
      <c r="AJ21">
        <f t="shared" ref="AJ21:AJ28" si="21">IF(Q21&lt;0.2,1,(1/((0.5*(1+0.21*(Q21-0.2)+Q21*Q21))+SQRT((0.5*(1+0.21*(Q21-0.2)+Q21*Q21)^2-Q21*Q21)))))</f>
        <v>1</v>
      </c>
    </row>
    <row r="22" spans="1:36">
      <c r="A22" s="11" t="s">
        <v>59</v>
      </c>
      <c r="B22" s="12">
        <v>118.6</v>
      </c>
      <c r="C22" s="12">
        <f t="shared" si="0"/>
        <v>286.32572849744906</v>
      </c>
      <c r="D22">
        <v>3</v>
      </c>
      <c r="E22" s="7">
        <f t="shared" si="1"/>
        <v>294.06448302213238</v>
      </c>
      <c r="F22" s="7">
        <v>201</v>
      </c>
      <c r="G22" s="5">
        <f t="shared" si="2"/>
        <v>3.0810833999999998</v>
      </c>
      <c r="H22">
        <v>0</v>
      </c>
      <c r="I22">
        <v>317.3</v>
      </c>
      <c r="J22">
        <v>0</v>
      </c>
      <c r="K22">
        <v>200</v>
      </c>
      <c r="L22">
        <v>0</v>
      </c>
      <c r="M22">
        <v>32.4</v>
      </c>
      <c r="N22" s="7">
        <f t="shared" si="3"/>
        <v>33.445453596870408</v>
      </c>
      <c r="O22">
        <v>900</v>
      </c>
      <c r="P22" s="5">
        <f t="shared" si="4"/>
        <v>3.0605532186362767</v>
      </c>
      <c r="Q22" s="6">
        <f t="shared" si="5"/>
        <v>0.13</v>
      </c>
      <c r="R22">
        <v>2160</v>
      </c>
      <c r="S22">
        <f t="shared" si="6"/>
        <v>93.064483022132379</v>
      </c>
      <c r="U22" s="8">
        <f t="shared" si="7"/>
        <v>1813</v>
      </c>
      <c r="V22">
        <f t="shared" si="8"/>
        <v>1599</v>
      </c>
      <c r="W22">
        <f t="shared" si="9"/>
        <v>1967</v>
      </c>
      <c r="X22" s="5">
        <f t="shared" si="10"/>
        <v>1.1913954771097628</v>
      </c>
      <c r="Y22" s="5">
        <f t="shared" si="11"/>
        <v>1.3508442776735459</v>
      </c>
      <c r="Z22" s="5">
        <f t="shared" si="12"/>
        <v>1.0981189628876462</v>
      </c>
      <c r="AB22">
        <f t="shared" si="13"/>
        <v>2816.5764280838621</v>
      </c>
      <c r="AC22">
        <f t="shared" si="14"/>
        <v>0</v>
      </c>
      <c r="AD22">
        <f t="shared" si="15"/>
        <v>33369.010459776488</v>
      </c>
      <c r="AE22">
        <f t="shared" si="16"/>
        <v>1974.8556395277676</v>
      </c>
      <c r="AF22">
        <f t="shared" si="17"/>
        <v>0.12071398657848806</v>
      </c>
      <c r="AG22">
        <f t="shared" si="18"/>
        <v>2.9145129797443849</v>
      </c>
      <c r="AH22">
        <f t="shared" si="19"/>
        <v>2.9145129797443849</v>
      </c>
      <c r="AI22">
        <f t="shared" si="20"/>
        <v>0.81035699328924404</v>
      </c>
      <c r="AJ22">
        <f t="shared" si="21"/>
        <v>1</v>
      </c>
    </row>
    <row r="23" spans="1:36">
      <c r="A23" s="11" t="s">
        <v>60</v>
      </c>
      <c r="B23" s="12">
        <v>118.6</v>
      </c>
      <c r="C23" s="12">
        <f t="shared" si="0"/>
        <v>286.32572849744906</v>
      </c>
      <c r="D23">
        <v>3</v>
      </c>
      <c r="E23" s="7">
        <f t="shared" si="1"/>
        <v>294.06448302213238</v>
      </c>
      <c r="F23" s="7">
        <v>200.1</v>
      </c>
      <c r="G23" s="5">
        <f t="shared" si="2"/>
        <v>3.0810833999999998</v>
      </c>
      <c r="H23">
        <v>0</v>
      </c>
      <c r="I23">
        <v>317.3</v>
      </c>
      <c r="J23">
        <v>0</v>
      </c>
      <c r="K23">
        <v>200</v>
      </c>
      <c r="L23">
        <v>0</v>
      </c>
      <c r="M23">
        <v>32.4</v>
      </c>
      <c r="N23" s="7">
        <f t="shared" si="3"/>
        <v>33.445453596870408</v>
      </c>
      <c r="O23">
        <v>900</v>
      </c>
      <c r="P23" s="5">
        <f t="shared" si="4"/>
        <v>3.0605532186362767</v>
      </c>
      <c r="Q23" s="6">
        <f t="shared" si="5"/>
        <v>0.13</v>
      </c>
      <c r="R23">
        <v>2250</v>
      </c>
      <c r="S23">
        <f t="shared" si="6"/>
        <v>93.964483022132384</v>
      </c>
      <c r="U23" s="8">
        <f t="shared" si="7"/>
        <v>1820</v>
      </c>
      <c r="V23">
        <f t="shared" si="8"/>
        <v>1612</v>
      </c>
      <c r="W23">
        <f t="shared" si="9"/>
        <v>1978</v>
      </c>
      <c r="X23" s="5">
        <f t="shared" si="10"/>
        <v>1.2362637362637363</v>
      </c>
      <c r="Y23" s="5">
        <f t="shared" si="11"/>
        <v>1.3957816377171215</v>
      </c>
      <c r="Z23" s="5">
        <f t="shared" si="12"/>
        <v>1.1375126390293226</v>
      </c>
      <c r="AB23">
        <f t="shared" si="13"/>
        <v>2816.5764280838621</v>
      </c>
      <c r="AC23">
        <f t="shared" si="14"/>
        <v>0</v>
      </c>
      <c r="AD23">
        <f t="shared" si="15"/>
        <v>33652.531342781338</v>
      </c>
      <c r="AE23">
        <f t="shared" si="16"/>
        <v>1984.0417161371247</v>
      </c>
      <c r="AF23">
        <f t="shared" si="17"/>
        <v>0.12083912942283898</v>
      </c>
      <c r="AG23">
        <f t="shared" si="18"/>
        <v>2.9127117240718627</v>
      </c>
      <c r="AH23">
        <f t="shared" si="19"/>
        <v>2.9127117240718627</v>
      </c>
      <c r="AI23">
        <f t="shared" si="20"/>
        <v>0.81041956471141952</v>
      </c>
      <c r="AJ23">
        <f t="shared" si="21"/>
        <v>1</v>
      </c>
    </row>
    <row r="24" spans="1:36">
      <c r="A24" s="11" t="s">
        <v>61</v>
      </c>
      <c r="B24" s="12">
        <v>118.1</v>
      </c>
      <c r="C24" s="12">
        <f t="shared" si="0"/>
        <v>285.11862171626251</v>
      </c>
      <c r="D24">
        <v>3.8</v>
      </c>
      <c r="E24" s="7">
        <f t="shared" si="1"/>
        <v>292.8247508002853</v>
      </c>
      <c r="F24" s="7">
        <v>199</v>
      </c>
      <c r="G24" s="5">
        <f t="shared" si="2"/>
        <v>3.9027056399999998</v>
      </c>
      <c r="H24">
        <v>0</v>
      </c>
      <c r="I24">
        <v>315</v>
      </c>
      <c r="J24">
        <v>0</v>
      </c>
      <c r="K24">
        <v>200</v>
      </c>
      <c r="L24">
        <v>0</v>
      </c>
      <c r="M24">
        <v>32.4</v>
      </c>
      <c r="N24" s="7">
        <f t="shared" si="3"/>
        <v>33.445453596870408</v>
      </c>
      <c r="O24">
        <v>900</v>
      </c>
      <c r="P24" s="5">
        <f t="shared" si="4"/>
        <v>3.0735106835754649</v>
      </c>
      <c r="Q24" s="6">
        <f t="shared" si="5"/>
        <v>0.13</v>
      </c>
      <c r="R24">
        <v>2580</v>
      </c>
      <c r="S24">
        <f t="shared" si="6"/>
        <v>93.824750800285301</v>
      </c>
      <c r="U24" s="8">
        <f t="shared" si="7"/>
        <v>2016</v>
      </c>
      <c r="V24">
        <f t="shared" si="8"/>
        <v>1747</v>
      </c>
      <c r="W24">
        <f t="shared" si="9"/>
        <v>2164</v>
      </c>
      <c r="X24" s="5">
        <f t="shared" si="10"/>
        <v>1.2797619047619047</v>
      </c>
      <c r="Y24" s="5">
        <f t="shared" si="11"/>
        <v>1.4768174012593016</v>
      </c>
      <c r="Z24" s="5">
        <f t="shared" si="12"/>
        <v>1.1922365988909427</v>
      </c>
      <c r="AB24">
        <f t="shared" si="13"/>
        <v>3542.3898034895396</v>
      </c>
      <c r="AC24">
        <f t="shared" si="14"/>
        <v>0</v>
      </c>
      <c r="AD24">
        <f t="shared" si="15"/>
        <v>32700.071304524139</v>
      </c>
      <c r="AE24">
        <f t="shared" si="16"/>
        <v>2175.335098365787</v>
      </c>
      <c r="AF24">
        <f t="shared" si="17"/>
        <v>0.12023359725065073</v>
      </c>
      <c r="AG24">
        <f t="shared" si="18"/>
        <v>2.9214324552961002</v>
      </c>
      <c r="AH24">
        <f t="shared" si="19"/>
        <v>2.9214324552961002</v>
      </c>
      <c r="AI24">
        <f t="shared" si="20"/>
        <v>0.81011679862532537</v>
      </c>
      <c r="AJ24">
        <f t="shared" si="21"/>
        <v>1</v>
      </c>
    </row>
    <row r="25" spans="1:36">
      <c r="A25" s="11" t="s">
        <v>62</v>
      </c>
      <c r="B25" s="12">
        <v>118.1</v>
      </c>
      <c r="C25" s="12">
        <f t="shared" si="0"/>
        <v>285.11862171626251</v>
      </c>
      <c r="D25">
        <v>3.8</v>
      </c>
      <c r="E25" s="7">
        <f t="shared" si="1"/>
        <v>292.8247508002853</v>
      </c>
      <c r="F25" s="7">
        <v>198.3</v>
      </c>
      <c r="G25" s="5">
        <f t="shared" si="2"/>
        <v>3.9027056399999998</v>
      </c>
      <c r="H25">
        <v>0</v>
      </c>
      <c r="I25">
        <v>315</v>
      </c>
      <c r="J25">
        <v>0</v>
      </c>
      <c r="K25">
        <v>200</v>
      </c>
      <c r="L25">
        <v>0</v>
      </c>
      <c r="M25">
        <v>32.4</v>
      </c>
      <c r="N25" s="7">
        <f t="shared" si="3"/>
        <v>33.445453596870408</v>
      </c>
      <c r="O25">
        <v>900</v>
      </c>
      <c r="P25" s="5">
        <f t="shared" si="4"/>
        <v>3.0735106835754649</v>
      </c>
      <c r="Q25" s="6">
        <f t="shared" si="5"/>
        <v>0.13</v>
      </c>
      <c r="R25">
        <v>2770</v>
      </c>
      <c r="S25">
        <f t="shared" si="6"/>
        <v>94.52475080028529</v>
      </c>
      <c r="U25" s="8">
        <f t="shared" si="7"/>
        <v>2022</v>
      </c>
      <c r="V25">
        <f t="shared" si="8"/>
        <v>1758</v>
      </c>
      <c r="W25">
        <f t="shared" si="9"/>
        <v>2172</v>
      </c>
      <c r="X25" s="5">
        <f t="shared" si="10"/>
        <v>1.3699307616221563</v>
      </c>
      <c r="Y25" s="5">
        <f t="shared" si="11"/>
        <v>1.5756541524459613</v>
      </c>
      <c r="Z25" s="5">
        <f t="shared" si="12"/>
        <v>1.2753222836095763</v>
      </c>
      <c r="AB25">
        <f t="shared" si="13"/>
        <v>3542.3898034895396</v>
      </c>
      <c r="AC25">
        <f t="shared" si="14"/>
        <v>0</v>
      </c>
      <c r="AD25">
        <f t="shared" si="15"/>
        <v>32918.4983877466</v>
      </c>
      <c r="AE25">
        <f t="shared" si="16"/>
        <v>2182.4121358621951</v>
      </c>
      <c r="AF25">
        <f t="shared" si="17"/>
        <v>0.12032373477685507</v>
      </c>
      <c r="AG25">
        <f t="shared" si="18"/>
        <v>2.9201335261892476</v>
      </c>
      <c r="AH25">
        <f t="shared" si="19"/>
        <v>2.9201335261892476</v>
      </c>
      <c r="AI25">
        <f t="shared" si="20"/>
        <v>0.81016186738842755</v>
      </c>
      <c r="AJ25">
        <f t="shared" si="21"/>
        <v>1</v>
      </c>
    </row>
    <row r="26" spans="1:36">
      <c r="A26" s="11" t="s">
        <v>63</v>
      </c>
      <c r="B26" s="12">
        <v>117.6</v>
      </c>
      <c r="C26" s="12">
        <f t="shared" si="0"/>
        <v>283.91151493507596</v>
      </c>
      <c r="D26">
        <v>4.75</v>
      </c>
      <c r="E26" s="7">
        <f t="shared" si="1"/>
        <v>291.58501857843817</v>
      </c>
      <c r="F26" s="7">
        <v>198</v>
      </c>
      <c r="G26" s="5">
        <f t="shared" si="2"/>
        <v>4.8783820499999999</v>
      </c>
      <c r="H26">
        <v>0</v>
      </c>
      <c r="I26">
        <v>315.8</v>
      </c>
      <c r="J26">
        <v>0</v>
      </c>
      <c r="K26">
        <v>200</v>
      </c>
      <c r="L26">
        <v>0</v>
      </c>
      <c r="M26">
        <v>36.799999999999997</v>
      </c>
      <c r="N26" s="7">
        <f t="shared" si="3"/>
        <v>34.498966507573023</v>
      </c>
      <c r="O26">
        <v>900</v>
      </c>
      <c r="P26" s="5">
        <f t="shared" si="4"/>
        <v>3.0865783310396466</v>
      </c>
      <c r="Q26" s="6">
        <f t="shared" si="5"/>
        <v>0.13</v>
      </c>
      <c r="R26">
        <v>2900</v>
      </c>
      <c r="S26">
        <f t="shared" si="6"/>
        <v>93.585018578438167</v>
      </c>
      <c r="U26" s="8">
        <f t="shared" si="7"/>
        <v>2376</v>
      </c>
      <c r="V26">
        <f t="shared" si="8"/>
        <v>2024</v>
      </c>
      <c r="W26">
        <f t="shared" si="9"/>
        <v>2529</v>
      </c>
      <c r="X26" s="5">
        <f t="shared" si="10"/>
        <v>1.2205387205387206</v>
      </c>
      <c r="Y26" s="5">
        <f t="shared" si="11"/>
        <v>1.4328063241106719</v>
      </c>
      <c r="Z26" s="5">
        <f t="shared" si="12"/>
        <v>1.1466982997232107</v>
      </c>
      <c r="AB26">
        <f t="shared" si="13"/>
        <v>4394.0341471160718</v>
      </c>
      <c r="AC26">
        <f t="shared" si="14"/>
        <v>0</v>
      </c>
      <c r="AD26">
        <f t="shared" si="15"/>
        <v>31591.199934596621</v>
      </c>
      <c r="AE26">
        <f t="shared" si="16"/>
        <v>2550.1921412524111</v>
      </c>
      <c r="AF26">
        <f t="shared" si="17"/>
        <v>0.12279217402564947</v>
      </c>
      <c r="AG26">
        <f t="shared" si="18"/>
        <v>2.8846693865585564</v>
      </c>
      <c r="AH26">
        <f t="shared" si="19"/>
        <v>2.8846693865585564</v>
      </c>
      <c r="AI26">
        <f t="shared" si="20"/>
        <v>0.81139608701282473</v>
      </c>
      <c r="AJ26">
        <f t="shared" si="21"/>
        <v>1</v>
      </c>
    </row>
    <row r="27" spans="1:36">
      <c r="A27" s="11" t="s">
        <v>64</v>
      </c>
      <c r="B27" s="12">
        <v>117.6</v>
      </c>
      <c r="C27" s="12">
        <f t="shared" si="0"/>
        <v>283.91151493507596</v>
      </c>
      <c r="D27">
        <v>4.75</v>
      </c>
      <c r="E27" s="7">
        <f t="shared" si="1"/>
        <v>291.58501857843817</v>
      </c>
      <c r="F27" s="7">
        <v>197.5</v>
      </c>
      <c r="G27" s="5">
        <f t="shared" si="2"/>
        <v>4.8783820499999999</v>
      </c>
      <c r="H27">
        <v>0</v>
      </c>
      <c r="I27">
        <v>315.8</v>
      </c>
      <c r="J27">
        <v>0</v>
      </c>
      <c r="K27">
        <v>200</v>
      </c>
      <c r="L27">
        <v>0</v>
      </c>
      <c r="M27">
        <v>31.4</v>
      </c>
      <c r="N27" s="7">
        <f t="shared" si="3"/>
        <v>33.194913964651441</v>
      </c>
      <c r="O27">
        <v>900</v>
      </c>
      <c r="P27" s="5">
        <f t="shared" si="4"/>
        <v>3.0865783310396466</v>
      </c>
      <c r="Q27" s="6">
        <f t="shared" si="5"/>
        <v>0.13</v>
      </c>
      <c r="R27">
        <v>3200</v>
      </c>
      <c r="S27">
        <f t="shared" si="6"/>
        <v>94.085018578438167</v>
      </c>
      <c r="U27" s="8">
        <f t="shared" si="7"/>
        <v>2235</v>
      </c>
      <c r="V27">
        <f t="shared" si="8"/>
        <v>1889</v>
      </c>
      <c r="W27">
        <f t="shared" si="9"/>
        <v>2366</v>
      </c>
      <c r="X27" s="5">
        <f t="shared" si="10"/>
        <v>1.4317673378076063</v>
      </c>
      <c r="Y27" s="5">
        <f t="shared" si="11"/>
        <v>1.6940179989412387</v>
      </c>
      <c r="Z27" s="5">
        <f t="shared" si="12"/>
        <v>1.3524936601859678</v>
      </c>
      <c r="AB27">
        <f t="shared" si="13"/>
        <v>4394.0341471160718</v>
      </c>
      <c r="AC27">
        <f t="shared" si="14"/>
        <v>0</v>
      </c>
      <c r="AD27">
        <f t="shared" si="15"/>
        <v>31746.512421408464</v>
      </c>
      <c r="AE27">
        <f t="shared" si="16"/>
        <v>2384.4764736914813</v>
      </c>
      <c r="AF27">
        <f t="shared" si="17"/>
        <v>0.11946131314283716</v>
      </c>
      <c r="AG27">
        <f t="shared" si="18"/>
        <v>2.9325727976003</v>
      </c>
      <c r="AH27">
        <f t="shared" si="19"/>
        <v>2.9325727976003</v>
      </c>
      <c r="AI27">
        <f t="shared" si="20"/>
        <v>0.80973065657141863</v>
      </c>
      <c r="AJ27">
        <f t="shared" si="21"/>
        <v>1</v>
      </c>
    </row>
    <row r="28" spans="1:36">
      <c r="A28" s="11" t="s">
        <v>65</v>
      </c>
      <c r="B28" s="12">
        <v>117.6</v>
      </c>
      <c r="C28" s="12">
        <f t="shared" si="0"/>
        <v>283.91151493507596</v>
      </c>
      <c r="D28">
        <v>4.75</v>
      </c>
      <c r="E28" s="7">
        <f t="shared" si="1"/>
        <v>291.58501857843817</v>
      </c>
      <c r="F28" s="7">
        <v>200.4</v>
      </c>
      <c r="G28" s="5">
        <f t="shared" si="2"/>
        <v>4.8783820499999999</v>
      </c>
      <c r="H28">
        <v>0</v>
      </c>
      <c r="I28">
        <v>315.8</v>
      </c>
      <c r="J28">
        <v>0</v>
      </c>
      <c r="K28">
        <v>200</v>
      </c>
      <c r="L28">
        <v>0</v>
      </c>
      <c r="M28">
        <v>31.4</v>
      </c>
      <c r="N28" s="7">
        <f t="shared" si="3"/>
        <v>33.194913964651441</v>
      </c>
      <c r="O28">
        <v>900</v>
      </c>
      <c r="P28" s="5">
        <f t="shared" si="4"/>
        <v>3.0865783310396466</v>
      </c>
      <c r="Q28" s="6">
        <f t="shared" si="5"/>
        <v>0.12</v>
      </c>
      <c r="R28">
        <v>3080</v>
      </c>
      <c r="S28">
        <f t="shared" si="6"/>
        <v>91.185018578438161</v>
      </c>
      <c r="U28" s="8">
        <f t="shared" si="7"/>
        <v>2211</v>
      </c>
      <c r="V28">
        <f t="shared" si="8"/>
        <v>1835</v>
      </c>
      <c r="W28">
        <f t="shared" si="9"/>
        <v>2331</v>
      </c>
      <c r="X28" s="5">
        <f t="shared" si="10"/>
        <v>1.3930348258706469</v>
      </c>
      <c r="Y28" s="5">
        <f t="shared" si="11"/>
        <v>1.6784741144414168</v>
      </c>
      <c r="Z28" s="5">
        <f t="shared" si="12"/>
        <v>1.3213213213213213</v>
      </c>
      <c r="AB28">
        <f t="shared" si="13"/>
        <v>4394.0341471160718</v>
      </c>
      <c r="AC28">
        <f t="shared" si="14"/>
        <v>0</v>
      </c>
      <c r="AD28">
        <f t="shared" si="15"/>
        <v>30840.233626682515</v>
      </c>
      <c r="AE28">
        <f t="shared" si="16"/>
        <v>2356.0193195370866</v>
      </c>
      <c r="AF28">
        <f t="shared" si="17"/>
        <v>0.11913492485543857</v>
      </c>
      <c r="AG28">
        <f t="shared" si="18"/>
        <v>2.9372871056196739</v>
      </c>
      <c r="AH28">
        <f t="shared" si="19"/>
        <v>2.9372871056196739</v>
      </c>
      <c r="AI28">
        <f t="shared" si="20"/>
        <v>0.80956746242771926</v>
      </c>
      <c r="AJ28">
        <f t="shared" si="21"/>
        <v>1</v>
      </c>
    </row>
    <row r="29" spans="1:36">
      <c r="A29" s="11"/>
      <c r="B29" s="12"/>
      <c r="C29" s="12"/>
      <c r="E29" s="7"/>
      <c r="F29" s="7"/>
      <c r="G29" s="5"/>
      <c r="N29" s="7"/>
      <c r="P29" s="5"/>
      <c r="Q29" s="6"/>
      <c r="U29" s="8"/>
      <c r="X29" s="5"/>
      <c r="Y29" s="5"/>
      <c r="Z29" s="5"/>
    </row>
    <row r="30" spans="1:36">
      <c r="A30" s="9" t="s">
        <v>66</v>
      </c>
      <c r="B30" s="12">
        <v>59.3</v>
      </c>
      <c r="C30" s="12">
        <f t="shared" ref="C30:C35" si="22">5.0273395*B30</f>
        <v>298.12123235000001</v>
      </c>
      <c r="D30">
        <v>2.5</v>
      </c>
      <c r="E30" s="7">
        <f t="shared" ref="E30:E35" si="23">1.006505*C30</f>
        <v>300.06051096643677</v>
      </c>
      <c r="F30" s="7">
        <v>230</v>
      </c>
      <c r="G30" s="5">
        <f t="shared" si="2"/>
        <v>2.5675694999999998</v>
      </c>
      <c r="H30">
        <v>0</v>
      </c>
      <c r="I30">
        <v>334.6</v>
      </c>
      <c r="J30">
        <v>0</v>
      </c>
      <c r="K30">
        <v>200</v>
      </c>
      <c r="L30">
        <v>0</v>
      </c>
      <c r="M30">
        <v>32.4</v>
      </c>
      <c r="N30" s="7">
        <f t="shared" si="3"/>
        <v>33.445453596870408</v>
      </c>
      <c r="O30">
        <v>900</v>
      </c>
      <c r="P30" s="5">
        <f t="shared" ref="P30:P35" si="24">O30/E30</f>
        <v>2.9993950123635877</v>
      </c>
      <c r="Q30" s="6">
        <f t="shared" ref="Q30:Q35" si="25">ROUND(SQRT((64*AE30*O30*O30)/(PI()^3*((E30^4-(E30-2*G30)^4)*K30+((F30+2*H30)^4-F30^4)*L30+((E30-2*G30)^4-(F30+2*H30)^4)*N30*0.6/1.35))),2)</f>
        <v>0.12</v>
      </c>
      <c r="R30">
        <v>2130</v>
      </c>
      <c r="S30">
        <f t="shared" si="6"/>
        <v>70.060510966436766</v>
      </c>
      <c r="U30" s="8">
        <f t="shared" ref="U30:U35" si="26">ROUND((I30*AB30+J30*AC30+0.85*M30*AD30)/1000,0)</f>
        <v>1540</v>
      </c>
      <c r="V30">
        <f t="shared" ref="V30:V35" si="27">ROUND((0.85*M30*AD30+6*G30*I30*AD30/(E30-2*G30)+(J30+2*H30*(F30+2*H30)/(E30-2*G30))*AC30)/1000,0)</f>
        <v>1205</v>
      </c>
      <c r="W30">
        <f t="shared" ref="W30:W35" si="28">ROUND(0.001*(AI30*I30*AB30+AI30*J30*AC30+M30*AD30*(1+AG30*G30*(I30+J30)/(E30*2*M30))),0)</f>
        <v>1630</v>
      </c>
      <c r="X30" s="5">
        <f t="shared" ref="X30:X35" si="29">R30/U30</f>
        <v>1.3831168831168832</v>
      </c>
      <c r="Y30" s="5">
        <f t="shared" ref="Y30:Y35" si="30">R30/V30</f>
        <v>1.7676348547717842</v>
      </c>
      <c r="Z30" s="5">
        <f t="shared" ref="Z30:Z35" si="31">R30/W30</f>
        <v>1.3067484662576687</v>
      </c>
      <c r="AB30">
        <f t="shared" ref="AB30:AB35" si="32">0.25*PI()*(E30*E30-(E30-2*G30)^2)</f>
        <v>2399.6546639882627</v>
      </c>
      <c r="AC30">
        <f t="shared" ref="AC30:AC35" si="33">0.25*PI()*((F30+2*H30)^2-F30*F30)</f>
        <v>0</v>
      </c>
      <c r="AD30">
        <f t="shared" ref="AD30:AD35" si="34">0.25*PI()*((E30-2*G30)^2-(F30+2*H30)^2)</f>
        <v>26767.13519499587</v>
      </c>
      <c r="AE30">
        <f t="shared" ref="AE30:AE35" si="35">0.001*(I30*AB30+J30*AC30+M30*AD30)</f>
        <v>1670.179630888339</v>
      </c>
      <c r="AF30">
        <f t="shared" ref="AF30:AF35" si="36">SQRT((64*AE30*O30*O30)/(PI()^3*((E30^4-(E30-2*G30)^4)*K30+((F30+2*H30)^4-F30^4)*L30+((E30-2*G30)^4-(F30+2*H30)^4)*N30*0.6)))</f>
        <v>0.1170439897604061</v>
      </c>
      <c r="AG30">
        <f t="shared" ref="AG30:AG35" si="37">IF(Q30&gt;0.5,0,AH30)</f>
        <v>2.9675742135960661</v>
      </c>
      <c r="AH30">
        <f t="shared" ref="AH30:AH35" si="38">IF((4.9-18.5*AF30+17*AF30*AF30)&lt;0,0,(4.9-18.5*AF30+17*AF30*AF30))</f>
        <v>2.9675742135960661</v>
      </c>
      <c r="AI30">
        <f t="shared" ref="AI30:AI35" si="39">IF((0.25*(3+2*AF30))&gt;1,1,(0.25*(3+2*AF30)))</f>
        <v>0.80852199488020304</v>
      </c>
      <c r="AJ30">
        <f t="shared" ref="AJ30:AJ35" si="40">IF(Q30&lt;0.2,1,(1/((0.5*(1+0.21*(Q30-0.2)+Q30*Q30))+SQRT((0.5*(1+0.21*(Q30-0.2)+Q30*Q30)^2-Q30*Q30)))))</f>
        <v>1</v>
      </c>
    </row>
    <row r="31" spans="1:36">
      <c r="A31" s="11" t="s">
        <v>67</v>
      </c>
      <c r="B31" s="12">
        <v>59.3</v>
      </c>
      <c r="C31" s="12">
        <f t="shared" si="22"/>
        <v>298.12123235000001</v>
      </c>
      <c r="D31">
        <v>2.5</v>
      </c>
      <c r="E31" s="7">
        <f t="shared" si="23"/>
        <v>300.06051096643677</v>
      </c>
      <c r="F31" s="7">
        <v>231.1</v>
      </c>
      <c r="G31" s="5">
        <f t="shared" si="2"/>
        <v>2.5675694999999998</v>
      </c>
      <c r="H31">
        <v>0</v>
      </c>
      <c r="I31">
        <v>334.6</v>
      </c>
      <c r="J31">
        <v>0</v>
      </c>
      <c r="K31">
        <v>200</v>
      </c>
      <c r="L31">
        <v>0</v>
      </c>
      <c r="M31">
        <v>32.4</v>
      </c>
      <c r="N31" s="7">
        <f t="shared" si="3"/>
        <v>33.445453596870408</v>
      </c>
      <c r="O31">
        <v>900</v>
      </c>
      <c r="P31" s="5">
        <f t="shared" si="24"/>
        <v>2.9993950123635877</v>
      </c>
      <c r="Q31" s="6">
        <f t="shared" si="25"/>
        <v>0.12</v>
      </c>
      <c r="R31">
        <v>2100</v>
      </c>
      <c r="S31">
        <f t="shared" si="6"/>
        <v>68.960510966436772</v>
      </c>
      <c r="U31" s="8">
        <f t="shared" si="26"/>
        <v>1529</v>
      </c>
      <c r="V31">
        <f t="shared" si="27"/>
        <v>1187</v>
      </c>
      <c r="W31">
        <f t="shared" si="28"/>
        <v>1616</v>
      </c>
      <c r="X31" s="5">
        <f t="shared" si="29"/>
        <v>1.3734466971877044</v>
      </c>
      <c r="Y31" s="5">
        <f t="shared" si="30"/>
        <v>1.7691659646166806</v>
      </c>
      <c r="Z31" s="5">
        <f t="shared" si="31"/>
        <v>1.2995049504950495</v>
      </c>
      <c r="AB31">
        <f t="shared" si="32"/>
        <v>2399.6546639882627</v>
      </c>
      <c r="AC31">
        <f t="shared" si="33"/>
        <v>0</v>
      </c>
      <c r="AD31">
        <f t="shared" si="34"/>
        <v>26368.773392539049</v>
      </c>
      <c r="AE31">
        <f t="shared" si="35"/>
        <v>1657.2727084887379</v>
      </c>
      <c r="AF31">
        <f t="shared" si="36"/>
        <v>0.11690155188991401</v>
      </c>
      <c r="AG31">
        <f t="shared" si="37"/>
        <v>2.9696428282191856</v>
      </c>
      <c r="AH31">
        <f t="shared" si="38"/>
        <v>2.9696428282191856</v>
      </c>
      <c r="AI31">
        <f t="shared" si="39"/>
        <v>0.80845077594495696</v>
      </c>
      <c r="AJ31">
        <f t="shared" si="40"/>
        <v>1</v>
      </c>
    </row>
    <row r="32" spans="1:36">
      <c r="A32" s="11" t="s">
        <v>68</v>
      </c>
      <c r="B32" s="12">
        <v>58.9</v>
      </c>
      <c r="C32" s="12">
        <f t="shared" si="22"/>
        <v>296.11029654999999</v>
      </c>
      <c r="D32">
        <v>4.75</v>
      </c>
      <c r="E32" s="7">
        <f t="shared" si="23"/>
        <v>298.03649402905774</v>
      </c>
      <c r="F32" s="7">
        <v>206.7</v>
      </c>
      <c r="G32" s="5">
        <f t="shared" si="2"/>
        <v>4.8783820499999999</v>
      </c>
      <c r="H32">
        <v>0</v>
      </c>
      <c r="I32">
        <v>315.8</v>
      </c>
      <c r="J32">
        <v>0</v>
      </c>
      <c r="K32">
        <v>200</v>
      </c>
      <c r="L32">
        <v>0</v>
      </c>
      <c r="M32">
        <v>36.799999999999997</v>
      </c>
      <c r="N32" s="7">
        <f t="shared" si="3"/>
        <v>34.498966507573023</v>
      </c>
      <c r="O32">
        <v>900</v>
      </c>
      <c r="P32" s="5">
        <f t="shared" si="24"/>
        <v>3.0197644182200469</v>
      </c>
      <c r="Q32" s="6">
        <f t="shared" si="25"/>
        <v>0.13</v>
      </c>
      <c r="R32">
        <v>3060</v>
      </c>
      <c r="S32">
        <f t="shared" si="6"/>
        <v>91.336494029057747</v>
      </c>
      <c r="U32" s="8">
        <f t="shared" si="26"/>
        <v>2411</v>
      </c>
      <c r="V32">
        <f t="shared" si="27"/>
        <v>2009</v>
      </c>
      <c r="W32">
        <f t="shared" si="28"/>
        <v>2556</v>
      </c>
      <c r="X32" s="5">
        <f t="shared" si="29"/>
        <v>1.2691829116549149</v>
      </c>
      <c r="Y32" s="5">
        <f t="shared" si="30"/>
        <v>1.5231458437033349</v>
      </c>
      <c r="Z32" s="5">
        <f t="shared" si="31"/>
        <v>1.1971830985915493</v>
      </c>
      <c r="AB32">
        <f t="shared" si="32"/>
        <v>4492.9087451112664</v>
      </c>
      <c r="AC32">
        <f t="shared" si="33"/>
        <v>0</v>
      </c>
      <c r="AD32">
        <f t="shared" si="34"/>
        <v>31714.623422546687</v>
      </c>
      <c r="AE32">
        <f t="shared" si="35"/>
        <v>2585.9587236558564</v>
      </c>
      <c r="AF32">
        <f t="shared" si="36"/>
        <v>0.11967388856125365</v>
      </c>
      <c r="AG32">
        <f t="shared" si="37"/>
        <v>2.929504334874121</v>
      </c>
      <c r="AH32">
        <f t="shared" si="38"/>
        <v>2.929504334874121</v>
      </c>
      <c r="AI32">
        <f t="shared" si="39"/>
        <v>0.8098369442806268</v>
      </c>
      <c r="AJ32">
        <f t="shared" si="40"/>
        <v>1</v>
      </c>
    </row>
    <row r="33" spans="1:36">
      <c r="A33" s="11" t="s">
        <v>69</v>
      </c>
      <c r="B33" s="12">
        <v>58.9</v>
      </c>
      <c r="C33" s="12">
        <f t="shared" si="22"/>
        <v>296.11029654999999</v>
      </c>
      <c r="D33">
        <v>4.75</v>
      </c>
      <c r="E33" s="7">
        <f t="shared" si="23"/>
        <v>298.03649402905774</v>
      </c>
      <c r="F33" s="7">
        <v>206.7</v>
      </c>
      <c r="G33" s="5">
        <f t="shared" si="2"/>
        <v>4.8783820499999999</v>
      </c>
      <c r="H33">
        <v>0</v>
      </c>
      <c r="I33">
        <v>315.8</v>
      </c>
      <c r="J33">
        <v>0</v>
      </c>
      <c r="K33">
        <v>200</v>
      </c>
      <c r="L33">
        <v>0</v>
      </c>
      <c r="M33">
        <v>36.799999999999997</v>
      </c>
      <c r="N33" s="7">
        <f t="shared" si="3"/>
        <v>34.498966507573023</v>
      </c>
      <c r="O33">
        <v>900</v>
      </c>
      <c r="P33" s="5">
        <f t="shared" si="24"/>
        <v>3.0197644182200469</v>
      </c>
      <c r="Q33" s="6">
        <f t="shared" si="25"/>
        <v>0.13</v>
      </c>
      <c r="R33">
        <v>3350</v>
      </c>
      <c r="S33">
        <f t="shared" si="6"/>
        <v>91.336494029057747</v>
      </c>
      <c r="U33" s="8">
        <f t="shared" si="26"/>
        <v>2411</v>
      </c>
      <c r="V33">
        <f t="shared" si="27"/>
        <v>2009</v>
      </c>
      <c r="W33">
        <f t="shared" si="28"/>
        <v>2556</v>
      </c>
      <c r="X33" s="5">
        <f t="shared" si="29"/>
        <v>1.3894649523019493</v>
      </c>
      <c r="Y33" s="5">
        <f t="shared" si="30"/>
        <v>1.6674962667994027</v>
      </c>
      <c r="Z33" s="5">
        <f t="shared" si="31"/>
        <v>1.3106416275430359</v>
      </c>
      <c r="AB33">
        <f t="shared" si="32"/>
        <v>4492.9087451112664</v>
      </c>
      <c r="AC33">
        <f t="shared" si="33"/>
        <v>0</v>
      </c>
      <c r="AD33">
        <f t="shared" si="34"/>
        <v>31714.623422546687</v>
      </c>
      <c r="AE33">
        <f t="shared" si="35"/>
        <v>2585.9587236558564</v>
      </c>
      <c r="AF33">
        <f t="shared" si="36"/>
        <v>0.11967388856125365</v>
      </c>
      <c r="AG33">
        <f t="shared" si="37"/>
        <v>2.929504334874121</v>
      </c>
      <c r="AH33">
        <f t="shared" si="38"/>
        <v>2.929504334874121</v>
      </c>
      <c r="AI33">
        <f t="shared" si="39"/>
        <v>0.8098369442806268</v>
      </c>
      <c r="AJ33">
        <f t="shared" si="40"/>
        <v>1</v>
      </c>
    </row>
    <row r="34" spans="1:36">
      <c r="A34" s="11" t="s">
        <v>70</v>
      </c>
      <c r="B34" s="12">
        <v>59</v>
      </c>
      <c r="C34" s="12">
        <f t="shared" si="22"/>
        <v>296.61303049999998</v>
      </c>
      <c r="D34">
        <v>4.75</v>
      </c>
      <c r="E34" s="7">
        <f t="shared" si="23"/>
        <v>298.54249826340248</v>
      </c>
      <c r="F34" s="7">
        <v>206.3</v>
      </c>
      <c r="G34" s="5">
        <f t="shared" si="2"/>
        <v>4.8783820499999999</v>
      </c>
      <c r="H34">
        <v>0</v>
      </c>
      <c r="I34">
        <v>315.8</v>
      </c>
      <c r="J34">
        <v>0</v>
      </c>
      <c r="K34">
        <v>200</v>
      </c>
      <c r="L34">
        <v>0</v>
      </c>
      <c r="M34">
        <v>31.4</v>
      </c>
      <c r="N34" s="7">
        <f t="shared" si="3"/>
        <v>33.194913964651441</v>
      </c>
      <c r="O34">
        <v>900</v>
      </c>
      <c r="P34" s="5">
        <f t="shared" si="24"/>
        <v>3.0146461734434027</v>
      </c>
      <c r="Q34" s="6">
        <f t="shared" si="25"/>
        <v>0.12</v>
      </c>
      <c r="R34">
        <v>2740</v>
      </c>
      <c r="S34">
        <f t="shared" si="6"/>
        <v>92.242498263402467</v>
      </c>
      <c r="U34" s="8">
        <f t="shared" si="26"/>
        <v>2277</v>
      </c>
      <c r="V34">
        <f t="shared" si="27"/>
        <v>1883</v>
      </c>
      <c r="W34">
        <f t="shared" si="28"/>
        <v>2402</v>
      </c>
      <c r="X34" s="5">
        <f t="shared" si="29"/>
        <v>1.2033377250768555</v>
      </c>
      <c r="Y34" s="5">
        <f t="shared" si="30"/>
        <v>1.455124800849708</v>
      </c>
      <c r="Z34" s="5">
        <f t="shared" si="31"/>
        <v>1.1407160699417151</v>
      </c>
      <c r="AB34">
        <f t="shared" si="32"/>
        <v>4500.6637099464624</v>
      </c>
      <c r="AC34">
        <f t="shared" si="33"/>
        <v>0</v>
      </c>
      <c r="AD34">
        <f t="shared" si="34"/>
        <v>32073.705553018841</v>
      </c>
      <c r="AE34">
        <f t="shared" si="35"/>
        <v>2428.4239539658847</v>
      </c>
      <c r="AF34">
        <f t="shared" si="36"/>
        <v>0.11630056951227846</v>
      </c>
      <c r="AG34">
        <f t="shared" si="37"/>
        <v>2.9783784459938141</v>
      </c>
      <c r="AH34">
        <f t="shared" si="38"/>
        <v>2.9783784459938141</v>
      </c>
      <c r="AI34">
        <f t="shared" si="39"/>
        <v>0.80815028475613926</v>
      </c>
      <c r="AJ34">
        <f t="shared" si="40"/>
        <v>1</v>
      </c>
    </row>
    <row r="35" spans="1:36">
      <c r="A35" s="11" t="s">
        <v>71</v>
      </c>
      <c r="B35" s="12">
        <v>59</v>
      </c>
      <c r="C35" s="12">
        <f t="shared" si="22"/>
        <v>296.61303049999998</v>
      </c>
      <c r="D35">
        <v>4.75</v>
      </c>
      <c r="E35" s="7">
        <f t="shared" si="23"/>
        <v>298.54249826340248</v>
      </c>
      <c r="F35" s="7">
        <v>207</v>
      </c>
      <c r="G35" s="5">
        <f t="shared" si="2"/>
        <v>4.8783820499999999</v>
      </c>
      <c r="H35">
        <v>0</v>
      </c>
      <c r="I35">
        <v>315.8</v>
      </c>
      <c r="J35">
        <v>0</v>
      </c>
      <c r="K35">
        <v>200</v>
      </c>
      <c r="L35">
        <v>0</v>
      </c>
      <c r="M35">
        <v>31.4</v>
      </c>
      <c r="N35" s="7">
        <f t="shared" si="3"/>
        <v>33.194913964651441</v>
      </c>
      <c r="O35">
        <v>900</v>
      </c>
      <c r="P35" s="5">
        <f t="shared" si="24"/>
        <v>3.0146461734434027</v>
      </c>
      <c r="Q35" s="6">
        <f t="shared" si="25"/>
        <v>0.12</v>
      </c>
      <c r="R35">
        <v>3090</v>
      </c>
      <c r="S35">
        <f t="shared" si="6"/>
        <v>91.542498263402479</v>
      </c>
      <c r="U35" s="8">
        <f t="shared" si="26"/>
        <v>2271</v>
      </c>
      <c r="V35">
        <f t="shared" si="27"/>
        <v>1869</v>
      </c>
      <c r="W35">
        <f t="shared" si="28"/>
        <v>2393</v>
      </c>
      <c r="X35" s="5">
        <f t="shared" si="29"/>
        <v>1.3606340819022458</v>
      </c>
      <c r="Y35" s="5">
        <f t="shared" si="30"/>
        <v>1.653290529695024</v>
      </c>
      <c r="Z35" s="5">
        <f t="shared" si="31"/>
        <v>1.2912661930631006</v>
      </c>
      <c r="AB35">
        <f t="shared" si="32"/>
        <v>4500.6637099464624</v>
      </c>
      <c r="AC35">
        <f t="shared" si="33"/>
        <v>0</v>
      </c>
      <c r="AD35">
        <f t="shared" si="34"/>
        <v>31846.482010366326</v>
      </c>
      <c r="AE35">
        <f t="shared" si="35"/>
        <v>2421.2891347265959</v>
      </c>
      <c r="AF35">
        <f t="shared" si="36"/>
        <v>0.1162249102782658</v>
      </c>
      <c r="AG35">
        <f t="shared" si="37"/>
        <v>2.979479065928329</v>
      </c>
      <c r="AH35">
        <f t="shared" si="38"/>
        <v>2.979479065928329</v>
      </c>
      <c r="AI35">
        <f t="shared" si="39"/>
        <v>0.80811245513913288</v>
      </c>
      <c r="AJ35">
        <f t="shared" si="40"/>
        <v>1</v>
      </c>
    </row>
    <row r="37" spans="1:36">
      <c r="A37" s="15" t="s">
        <v>72</v>
      </c>
      <c r="B37" s="15"/>
      <c r="C37" s="15" t="s">
        <v>4</v>
      </c>
      <c r="D37" s="15" t="s">
        <v>7</v>
      </c>
      <c r="E37" s="15"/>
      <c r="F37" s="15" t="s">
        <v>22</v>
      </c>
      <c r="G37" s="15"/>
      <c r="H37" s="15" t="s">
        <v>23</v>
      </c>
      <c r="I37" s="15" t="s">
        <v>24</v>
      </c>
      <c r="J37" s="15" t="s">
        <v>25</v>
      </c>
      <c r="K37" s="15" t="s">
        <v>26</v>
      </c>
      <c r="L37" s="15" t="s">
        <v>27</v>
      </c>
      <c r="M37" s="15" t="s">
        <v>28</v>
      </c>
      <c r="N37" s="15" t="s">
        <v>29</v>
      </c>
      <c r="O37" s="15" t="s">
        <v>73</v>
      </c>
      <c r="P37" s="15" t="s">
        <v>74</v>
      </c>
      <c r="Q37" s="15" t="s">
        <v>75</v>
      </c>
      <c r="R37" s="15" t="s">
        <v>14</v>
      </c>
      <c r="S37" s="15" t="s">
        <v>76</v>
      </c>
      <c r="T37" s="15"/>
      <c r="U37" s="15"/>
      <c r="V37" s="15"/>
      <c r="W37" s="15"/>
      <c r="X37" s="15"/>
      <c r="Y37" s="15"/>
      <c r="Z37" s="15"/>
      <c r="AA37" s="15"/>
      <c r="AB37" s="15" t="s">
        <v>38</v>
      </c>
      <c r="AC37" s="15" t="s">
        <v>39</v>
      </c>
      <c r="AD37" s="15" t="s">
        <v>40</v>
      </c>
      <c r="AE37" s="15" t="s">
        <v>77</v>
      </c>
      <c r="AF37" s="15" t="s">
        <v>78</v>
      </c>
      <c r="AG37" s="15"/>
    </row>
    <row r="38" spans="1:36">
      <c r="A38" s="11" t="s">
        <v>79</v>
      </c>
      <c r="C38" s="7">
        <v>238</v>
      </c>
      <c r="D38">
        <v>2.5</v>
      </c>
      <c r="F38" s="7">
        <v>187.3</v>
      </c>
      <c r="H38">
        <v>0</v>
      </c>
      <c r="I38" s="7">
        <v>334.6</v>
      </c>
      <c r="J38">
        <v>0</v>
      </c>
      <c r="K38">
        <v>200</v>
      </c>
      <c r="L38">
        <v>0</v>
      </c>
      <c r="M38">
        <v>32.4</v>
      </c>
      <c r="N38" s="7">
        <f t="shared" ref="N38:N46" si="41">22*((M38+8)/10)^0.3</f>
        <v>33.445453596870408</v>
      </c>
      <c r="O38">
        <v>900</v>
      </c>
      <c r="P38" s="5">
        <f>O38/C38</f>
        <v>3.7815126050420167</v>
      </c>
      <c r="Q38" s="6">
        <f>SQRT(W38/AF38)</f>
        <v>0.16596864465876252</v>
      </c>
      <c r="R38">
        <v>1700</v>
      </c>
      <c r="S38" s="7">
        <f>C38-F38</f>
        <v>50.699999999999989</v>
      </c>
      <c r="W38" s="8">
        <f>(AB38*I38 + AD38*M38)/1000</f>
        <v>1654.2365041661301</v>
      </c>
      <c r="Z38" s="5">
        <f>R38/W38</f>
        <v>1.027664421452807</v>
      </c>
      <c r="AB38">
        <f>C38^2 - (C38-2*D38)^2</f>
        <v>2355</v>
      </c>
      <c r="AC38">
        <f>PI()*F38*H38</f>
        <v>0</v>
      </c>
      <c r="AD38" s="8">
        <f>(C38-2*D38)^2 - PI()*F38^2/4</f>
        <v>26736.219264386731</v>
      </c>
      <c r="AE38" s="8">
        <f>((C38^4-(C38-2*D38)^4)*J38 + 0.6*N38*(C38-2*D38)^4)/12000</f>
        <v>4928681.7791934749</v>
      </c>
      <c r="AF38" s="8">
        <f>1000*PI()^2*AE38/(O38*O38)</f>
        <v>60054.49306110722</v>
      </c>
    </row>
    <row r="39" spans="1:36">
      <c r="A39" s="11" t="s">
        <v>80</v>
      </c>
      <c r="C39" s="7">
        <v>238</v>
      </c>
      <c r="D39">
        <v>2.5</v>
      </c>
      <c r="F39" s="7">
        <v>186</v>
      </c>
      <c r="H39">
        <v>0</v>
      </c>
      <c r="I39" s="7">
        <v>334.6</v>
      </c>
      <c r="J39">
        <v>0</v>
      </c>
      <c r="K39">
        <v>200</v>
      </c>
      <c r="L39">
        <v>0</v>
      </c>
      <c r="M39">
        <v>32.4</v>
      </c>
      <c r="N39" s="7">
        <f t="shared" si="41"/>
        <v>33.445453596870408</v>
      </c>
      <c r="O39">
        <v>900</v>
      </c>
      <c r="P39" s="5">
        <f t="shared" ref="P39:P46" si="42">O39/C39</f>
        <v>3.7815126050420167</v>
      </c>
      <c r="Q39" s="6">
        <f t="shared" ref="Q39:Q46" si="43">SQRT(W39/AF39)</f>
        <v>0.16658698335578706</v>
      </c>
      <c r="R39">
        <v>1900</v>
      </c>
      <c r="S39" s="7">
        <f t="shared" ref="S39:S46" si="44">C39-F39</f>
        <v>52</v>
      </c>
      <c r="W39" s="8">
        <f t="shared" ref="W39:W46" si="45">(AB39*I39 + AD39*M39)/1000</f>
        <v>1666.5856305069008</v>
      </c>
      <c r="Z39" s="5">
        <f t="shared" ref="Z39:Z46" si="46">R39/W39</f>
        <v>1.1400554314284499</v>
      </c>
      <c r="AB39">
        <f t="shared" ref="AB39:AB46" si="47">C39^2 - (C39-2*D39)^2</f>
        <v>2355</v>
      </c>
      <c r="AC39">
        <f t="shared" ref="AC39:AC46" si="48">PI()*F39*H39</f>
        <v>0</v>
      </c>
      <c r="AD39" s="8">
        <f t="shared" ref="AD39:AD46" si="49">(C39-2*D39)^2 - PI()*F39^2/4</f>
        <v>27117.365139101879</v>
      </c>
      <c r="AE39" s="8">
        <f t="shared" ref="AE39:AE46" si="50">((C39^4-(C39-2*D39)^4)*J39 + 0.6*N39*(C39-2*D39)^4)/12000</f>
        <v>4928681.7791934749</v>
      </c>
      <c r="AF39" s="8">
        <f t="shared" ref="AF39:AF46" si="51">1000*PI()^2*AE39/(O39*O39)</f>
        <v>60054.49306110722</v>
      </c>
    </row>
    <row r="40" spans="1:36">
      <c r="A40" s="11" t="s">
        <v>81</v>
      </c>
      <c r="C40" s="7">
        <v>237.4</v>
      </c>
      <c r="D40" s="7">
        <v>3</v>
      </c>
      <c r="F40" s="7">
        <v>162</v>
      </c>
      <c r="H40">
        <v>0</v>
      </c>
      <c r="I40" s="7">
        <v>317.3</v>
      </c>
      <c r="J40">
        <v>0</v>
      </c>
      <c r="K40">
        <v>200</v>
      </c>
      <c r="L40">
        <v>0</v>
      </c>
      <c r="M40">
        <v>32.4</v>
      </c>
      <c r="N40" s="7">
        <f t="shared" si="41"/>
        <v>33.445453596870408</v>
      </c>
      <c r="O40">
        <v>900</v>
      </c>
      <c r="P40" s="5">
        <f t="shared" si="42"/>
        <v>3.7910699241786014</v>
      </c>
      <c r="Q40" s="6">
        <f t="shared" si="43"/>
        <v>0.18314366225084736</v>
      </c>
      <c r="R40">
        <v>1990</v>
      </c>
      <c r="S40" s="7">
        <f t="shared" si="44"/>
        <v>75.400000000000006</v>
      </c>
      <c r="W40" s="8">
        <f t="shared" si="45"/>
        <v>1959.5620874334354</v>
      </c>
      <c r="Z40" s="5">
        <f t="shared" si="46"/>
        <v>1.0155330176888813</v>
      </c>
      <c r="AB40">
        <f t="shared" si="47"/>
        <v>2812.8000000000029</v>
      </c>
      <c r="AC40">
        <f t="shared" si="48"/>
        <v>0</v>
      </c>
      <c r="AD40" s="8">
        <f t="shared" si="49"/>
        <v>32933.970599797365</v>
      </c>
      <c r="AE40" s="8">
        <f t="shared" si="50"/>
        <v>4794689.7790629389</v>
      </c>
      <c r="AF40" s="8">
        <f t="shared" si="51"/>
        <v>58421.841167034254</v>
      </c>
    </row>
    <row r="41" spans="1:36">
      <c r="A41" s="11" t="s">
        <v>82</v>
      </c>
      <c r="C41" s="7">
        <v>237.4</v>
      </c>
      <c r="D41" s="7">
        <v>3</v>
      </c>
      <c r="F41" s="7">
        <v>162.69999999999999</v>
      </c>
      <c r="H41">
        <v>0</v>
      </c>
      <c r="I41" s="7">
        <v>317.3</v>
      </c>
      <c r="J41">
        <v>0</v>
      </c>
      <c r="K41">
        <v>200</v>
      </c>
      <c r="L41">
        <v>0</v>
      </c>
      <c r="M41">
        <v>32.4</v>
      </c>
      <c r="N41" s="7">
        <f t="shared" si="41"/>
        <v>33.445453596870408</v>
      </c>
      <c r="O41">
        <v>900</v>
      </c>
      <c r="P41" s="5">
        <f t="shared" si="42"/>
        <v>3.7910699241786014</v>
      </c>
      <c r="Q41" s="6">
        <f t="shared" si="43"/>
        <v>0.18287317991345925</v>
      </c>
      <c r="R41">
        <v>2400</v>
      </c>
      <c r="S41" s="7">
        <f t="shared" si="44"/>
        <v>74.700000000000017</v>
      </c>
      <c r="W41" s="8">
        <f t="shared" si="45"/>
        <v>1953.7782614201367</v>
      </c>
      <c r="Z41" s="5">
        <f t="shared" si="46"/>
        <v>1.228389140871861</v>
      </c>
      <c r="AB41">
        <f t="shared" si="47"/>
        <v>2812.8000000000029</v>
      </c>
      <c r="AC41">
        <f t="shared" si="48"/>
        <v>0</v>
      </c>
      <c r="AD41" s="8">
        <f t="shared" si="49"/>
        <v>32755.457451238763</v>
      </c>
      <c r="AE41" s="8">
        <f t="shared" si="50"/>
        <v>4794689.7790629389</v>
      </c>
      <c r="AF41" s="8">
        <f t="shared" si="51"/>
        <v>58421.841167034254</v>
      </c>
    </row>
    <row r="42" spans="1:36">
      <c r="A42" s="11" t="s">
        <v>83</v>
      </c>
      <c r="C42" s="7">
        <v>237.1</v>
      </c>
      <c r="D42">
        <v>3.8</v>
      </c>
      <c r="F42" s="7">
        <v>160</v>
      </c>
      <c r="H42">
        <v>0</v>
      </c>
      <c r="I42" s="7">
        <v>315</v>
      </c>
      <c r="J42">
        <v>0</v>
      </c>
      <c r="K42">
        <v>200</v>
      </c>
      <c r="L42">
        <v>0</v>
      </c>
      <c r="M42">
        <v>32.4</v>
      </c>
      <c r="N42" s="7">
        <f t="shared" si="41"/>
        <v>33.445453596870408</v>
      </c>
      <c r="O42">
        <v>900</v>
      </c>
      <c r="P42" s="5">
        <f t="shared" si="42"/>
        <v>3.7958667229017293</v>
      </c>
      <c r="Q42" s="6">
        <f t="shared" si="43"/>
        <v>0.19602668774635018</v>
      </c>
      <c r="R42">
        <v>2190</v>
      </c>
      <c r="S42" s="7">
        <f t="shared" si="44"/>
        <v>77.099999999999994</v>
      </c>
      <c r="W42" s="8">
        <f t="shared" si="45"/>
        <v>2172.1158473516189</v>
      </c>
      <c r="Z42" s="5">
        <f t="shared" si="46"/>
        <v>1.0082335169508507</v>
      </c>
      <c r="AB42">
        <f t="shared" si="47"/>
        <v>3546.1599999999962</v>
      </c>
      <c r="AC42">
        <f t="shared" si="48"/>
        <v>0</v>
      </c>
      <c r="AD42" s="8">
        <f t="shared" si="49"/>
        <v>32564.057017025323</v>
      </c>
      <c r="AE42" s="8">
        <f t="shared" si="50"/>
        <v>4639144.0092398981</v>
      </c>
      <c r="AF42" s="8">
        <f t="shared" si="51"/>
        <v>56526.563124544977</v>
      </c>
    </row>
    <row r="43" spans="1:36">
      <c r="A43" s="11" t="s">
        <v>84</v>
      </c>
      <c r="C43" s="7">
        <v>237.8</v>
      </c>
      <c r="D43">
        <v>4.75</v>
      </c>
      <c r="F43" s="7">
        <v>158.30000000000001</v>
      </c>
      <c r="H43">
        <v>0</v>
      </c>
      <c r="I43" s="7">
        <v>315.8</v>
      </c>
      <c r="J43">
        <v>0</v>
      </c>
      <c r="K43">
        <v>200</v>
      </c>
      <c r="L43">
        <v>0</v>
      </c>
      <c r="M43">
        <v>36.799999999999997</v>
      </c>
      <c r="N43" s="7">
        <f t="shared" si="41"/>
        <v>34.498966507573023</v>
      </c>
      <c r="O43">
        <v>900</v>
      </c>
      <c r="P43" s="5">
        <f t="shared" si="42"/>
        <v>3.7846930193439863</v>
      </c>
      <c r="Q43" s="6">
        <f t="shared" si="43"/>
        <v>0.2130693126311074</v>
      </c>
      <c r="R43">
        <v>2990</v>
      </c>
      <c r="S43" s="7">
        <f t="shared" si="44"/>
        <v>79.5</v>
      </c>
      <c r="W43" s="8">
        <f t="shared" si="45"/>
        <v>2592.1269744737438</v>
      </c>
      <c r="Z43" s="5">
        <f t="shared" si="46"/>
        <v>1.1534928764849697</v>
      </c>
      <c r="AB43">
        <f t="shared" si="47"/>
        <v>4427.9499999999971</v>
      </c>
      <c r="AC43">
        <f t="shared" si="48"/>
        <v>0</v>
      </c>
      <c r="AD43" s="8">
        <f t="shared" si="49"/>
        <v>32439.683817221321</v>
      </c>
      <c r="AE43" s="8">
        <f t="shared" si="50"/>
        <v>4685972.497212776</v>
      </c>
      <c r="AF43" s="8">
        <f t="shared" si="51"/>
        <v>57097.15405169742</v>
      </c>
    </row>
    <row r="44" spans="1:36">
      <c r="A44" s="11" t="s">
        <v>85</v>
      </c>
      <c r="C44" s="7">
        <v>237.8</v>
      </c>
      <c r="D44">
        <v>4.75</v>
      </c>
      <c r="F44" s="7">
        <v>158</v>
      </c>
      <c r="H44">
        <v>0</v>
      </c>
      <c r="I44" s="7">
        <v>315.8</v>
      </c>
      <c r="J44">
        <v>0</v>
      </c>
      <c r="K44">
        <v>200</v>
      </c>
      <c r="L44">
        <v>0</v>
      </c>
      <c r="M44">
        <v>36.799999999999997</v>
      </c>
      <c r="N44" s="7">
        <f t="shared" si="41"/>
        <v>34.498966507573023</v>
      </c>
      <c r="O44">
        <v>900</v>
      </c>
      <c r="P44" s="5">
        <f t="shared" si="42"/>
        <v>3.7846930193439863</v>
      </c>
      <c r="Q44" s="6">
        <f t="shared" si="43"/>
        <v>0.21318200070471444</v>
      </c>
      <c r="R44">
        <v>2420</v>
      </c>
      <c r="S44" s="7">
        <f t="shared" si="44"/>
        <v>79.800000000000011</v>
      </c>
      <c r="W44" s="8">
        <f t="shared" si="45"/>
        <v>2594.8695471612159</v>
      </c>
      <c r="Z44" s="5">
        <f t="shared" si="46"/>
        <v>0.93260950349025329</v>
      </c>
      <c r="AB44">
        <f t="shared" si="47"/>
        <v>4427.9499999999971</v>
      </c>
      <c r="AC44">
        <f t="shared" si="48"/>
        <v>0</v>
      </c>
      <c r="AD44" s="8">
        <f t="shared" si="49"/>
        <v>32514.210248946107</v>
      </c>
      <c r="AE44" s="8">
        <f t="shared" si="50"/>
        <v>4685972.497212776</v>
      </c>
      <c r="AF44" s="8">
        <f t="shared" si="51"/>
        <v>57097.15405169742</v>
      </c>
    </row>
    <row r="45" spans="1:36">
      <c r="A45" s="11" t="s">
        <v>86</v>
      </c>
      <c r="C45" s="7">
        <v>237.3</v>
      </c>
      <c r="D45">
        <v>4.75</v>
      </c>
      <c r="F45" s="7">
        <v>160</v>
      </c>
      <c r="H45">
        <v>0</v>
      </c>
      <c r="I45" s="7">
        <v>315.8</v>
      </c>
      <c r="J45">
        <v>0</v>
      </c>
      <c r="K45">
        <v>200</v>
      </c>
      <c r="L45">
        <v>0</v>
      </c>
      <c r="M45">
        <v>31.4</v>
      </c>
      <c r="N45" s="7">
        <f t="shared" si="41"/>
        <v>33.194913964651441</v>
      </c>
      <c r="O45">
        <v>900</v>
      </c>
      <c r="P45" s="5">
        <f t="shared" si="42"/>
        <v>3.7926675094816686</v>
      </c>
      <c r="Q45" s="6">
        <f t="shared" si="43"/>
        <v>0.20964106120492035</v>
      </c>
      <c r="R45">
        <v>2880</v>
      </c>
      <c r="S45" s="7">
        <f t="shared" si="44"/>
        <v>77.300000000000011</v>
      </c>
      <c r="W45" s="8">
        <f t="shared" si="45"/>
        <v>2393.4472263345965</v>
      </c>
      <c r="Z45" s="5">
        <f t="shared" si="46"/>
        <v>1.2032853569161523</v>
      </c>
      <c r="AB45">
        <f t="shared" si="47"/>
        <v>4418.4500000000044</v>
      </c>
      <c r="AC45">
        <f t="shared" si="48"/>
        <v>0</v>
      </c>
      <c r="AD45" s="8">
        <f t="shared" si="49"/>
        <v>31786.647017025327</v>
      </c>
      <c r="AE45" s="8">
        <f t="shared" si="50"/>
        <v>4469474.1590232057</v>
      </c>
      <c r="AF45" s="8">
        <f t="shared" si="51"/>
        <v>54459.187445000731</v>
      </c>
    </row>
    <row r="46" spans="1:36">
      <c r="A46" s="11" t="s">
        <v>87</v>
      </c>
      <c r="C46" s="7">
        <v>237.3</v>
      </c>
      <c r="D46">
        <v>4.75</v>
      </c>
      <c r="F46" s="7">
        <v>159.69999999999999</v>
      </c>
      <c r="H46">
        <v>0</v>
      </c>
      <c r="I46" s="7">
        <v>315.8</v>
      </c>
      <c r="J46">
        <v>0</v>
      </c>
      <c r="K46">
        <v>200</v>
      </c>
      <c r="L46">
        <v>0</v>
      </c>
      <c r="M46">
        <v>31.4</v>
      </c>
      <c r="N46" s="7">
        <f t="shared" si="41"/>
        <v>33.194913964651441</v>
      </c>
      <c r="O46">
        <v>900</v>
      </c>
      <c r="P46" s="5">
        <f t="shared" si="42"/>
        <v>3.7926675094816686</v>
      </c>
      <c r="Q46" s="6">
        <f t="shared" si="43"/>
        <v>0.2097446227835166</v>
      </c>
      <c r="R46">
        <v>2400</v>
      </c>
      <c r="S46" s="7">
        <f t="shared" si="44"/>
        <v>77.600000000000023</v>
      </c>
      <c r="W46" s="8">
        <f t="shared" si="45"/>
        <v>2395.8125110231322</v>
      </c>
      <c r="Z46" s="5">
        <f t="shared" si="46"/>
        <v>1.0017478366765351</v>
      </c>
      <c r="AB46">
        <f t="shared" si="47"/>
        <v>4418.4500000000044</v>
      </c>
      <c r="AC46">
        <f t="shared" si="48"/>
        <v>0</v>
      </c>
      <c r="AD46" s="8">
        <f t="shared" si="49"/>
        <v>31861.974554876779</v>
      </c>
      <c r="AE46" s="8">
        <f t="shared" si="50"/>
        <v>4469474.1590232057</v>
      </c>
      <c r="AF46" s="8">
        <f t="shared" si="51"/>
        <v>54459.187445000731</v>
      </c>
    </row>
  </sheetData>
  <mergeCells count="10">
    <mergeCell ref="A2:G2"/>
    <mergeCell ref="U16:W16"/>
    <mergeCell ref="A1:I1"/>
    <mergeCell ref="E3:F3"/>
    <mergeCell ref="I3:L3"/>
    <mergeCell ref="D12:F12"/>
    <mergeCell ref="G12:M12"/>
    <mergeCell ref="D14:M14"/>
    <mergeCell ref="N12:R12"/>
    <mergeCell ref="N14:R14"/>
  </mergeCells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tabSelected="1" workbookViewId="0" xr3:uid="{958C4451-9541-5A59-BF78-D2F731DF1C81}">
      <pane xSplit="1" ySplit="7" topLeftCell="B8" activePane="bottomRight" state="frozen"/>
      <selection pane="bottomRight" activeCell="A3" sqref="A3"/>
      <selection pane="bottomLeft" activeCell="A8" sqref="A8"/>
      <selection pane="topRight" activeCell="B1" sqref="B1"/>
    </sheetView>
  </sheetViews>
  <sheetFormatPr defaultRowHeight="12.75"/>
  <cols>
    <col min="1" max="1" width="14.7109375" customWidth="1"/>
    <col min="2" max="7" width="7.7109375" customWidth="1"/>
  </cols>
  <sheetData>
    <row r="1" spans="1:9">
      <c r="A1" s="17" t="s">
        <v>88</v>
      </c>
      <c r="B1" s="17"/>
      <c r="C1" s="17"/>
      <c r="D1" s="17"/>
      <c r="E1" s="17"/>
      <c r="F1" s="17"/>
      <c r="G1" s="17"/>
      <c r="H1" s="17"/>
      <c r="I1" s="17"/>
    </row>
    <row r="2" spans="1:9">
      <c r="A2" s="17" t="s">
        <v>1</v>
      </c>
      <c r="B2" s="17"/>
      <c r="C2" s="17"/>
      <c r="D2" s="17"/>
      <c r="E2" s="17"/>
      <c r="F2" s="17"/>
      <c r="G2" s="17"/>
    </row>
    <row r="3" spans="1:9">
      <c r="C3" s="18" t="s">
        <v>89</v>
      </c>
      <c r="D3" s="18"/>
      <c r="E3" s="18"/>
      <c r="F3" s="18"/>
    </row>
    <row r="4" spans="1:9">
      <c r="A4" s="15" t="s">
        <v>90</v>
      </c>
      <c r="C4" s="18" t="s">
        <v>91</v>
      </c>
      <c r="D4" s="18"/>
      <c r="E4" s="18"/>
      <c r="F4" s="18"/>
    </row>
    <row r="5" spans="1:9">
      <c r="F5" s="14" t="s">
        <v>92</v>
      </c>
    </row>
    <row r="6" spans="1:9">
      <c r="A6" s="15" t="s">
        <v>93</v>
      </c>
      <c r="B6" s="15" t="s">
        <v>14</v>
      </c>
      <c r="C6" s="15" t="s">
        <v>37</v>
      </c>
      <c r="D6" s="2" t="s">
        <v>14</v>
      </c>
      <c r="F6" s="15" t="s">
        <v>94</v>
      </c>
    </row>
    <row r="7" spans="1:9">
      <c r="B7" s="15" t="s">
        <v>50</v>
      </c>
      <c r="C7" s="15" t="s">
        <v>50</v>
      </c>
      <c r="D7" s="15" t="s">
        <v>37</v>
      </c>
      <c r="F7" s="15" t="s">
        <v>95</v>
      </c>
    </row>
    <row r="8" spans="1:9">
      <c r="A8" s="15" t="str">
        <f>Data!A19</f>
        <v>Wang et al</v>
      </c>
      <c r="B8" s="15">
        <v>2006</v>
      </c>
      <c r="C8" s="16" t="s">
        <v>55</v>
      </c>
    </row>
    <row r="9" spans="1:9">
      <c r="A9" s="11" t="str">
        <f>Data!A20</f>
        <v>8-sided 1C-1</v>
      </c>
      <c r="B9" s="8">
        <f>Data!R20</f>
        <v>2100</v>
      </c>
      <c r="C9">
        <f>Data!W20</f>
        <v>1623</v>
      </c>
      <c r="D9" s="5">
        <f>B9/C9</f>
        <v>1.2939001848428835</v>
      </c>
      <c r="F9" s="5">
        <v>1.02</v>
      </c>
    </row>
    <row r="10" spans="1:9">
      <c r="A10" s="11" t="str">
        <f>Data!A21</f>
        <v>1C-2</v>
      </c>
      <c r="B10" s="8">
        <f>Data!R21</f>
        <v>1830</v>
      </c>
      <c r="C10">
        <f>Data!W21</f>
        <v>1623</v>
      </c>
      <c r="D10" s="5">
        <f t="shared" ref="D10:D37" si="0">B10/C10</f>
        <v>1.1275415896487986</v>
      </c>
      <c r="F10" s="5">
        <v>0.89</v>
      </c>
    </row>
    <row r="11" spans="1:9">
      <c r="A11" s="11" t="str">
        <f>Data!A22</f>
        <v>2C-1</v>
      </c>
      <c r="B11" s="8">
        <f>Data!R22</f>
        <v>2160</v>
      </c>
      <c r="C11">
        <f>Data!W22</f>
        <v>1967</v>
      </c>
      <c r="D11" s="5">
        <f t="shared" si="0"/>
        <v>1.0981189628876462</v>
      </c>
      <c r="F11" s="5">
        <v>0.86</v>
      </c>
    </row>
    <row r="12" spans="1:9">
      <c r="A12" s="11" t="str">
        <f>Data!A23</f>
        <v>2C-2</v>
      </c>
      <c r="B12" s="8">
        <f>Data!R23</f>
        <v>2250</v>
      </c>
      <c r="C12">
        <f>Data!W23</f>
        <v>1978</v>
      </c>
      <c r="D12" s="5">
        <f t="shared" si="0"/>
        <v>1.1375126390293226</v>
      </c>
      <c r="F12" s="5">
        <v>0.89</v>
      </c>
    </row>
    <row r="13" spans="1:9">
      <c r="A13" s="11" t="str">
        <f>Data!A24</f>
        <v>3C-1</v>
      </c>
      <c r="B13" s="8">
        <f>Data!R24</f>
        <v>2580</v>
      </c>
      <c r="C13">
        <f>Data!W24</f>
        <v>2164</v>
      </c>
      <c r="D13" s="5">
        <f t="shared" si="0"/>
        <v>1.1922365988909427</v>
      </c>
      <c r="F13" s="5">
        <v>0.91</v>
      </c>
    </row>
    <row r="14" spans="1:9">
      <c r="A14" s="11" t="str">
        <f>Data!A25</f>
        <v>3C-2</v>
      </c>
      <c r="B14" s="8">
        <f>Data!R25</f>
        <v>2770</v>
      </c>
      <c r="C14">
        <f>Data!W25</f>
        <v>2172</v>
      </c>
      <c r="D14" s="5">
        <f t="shared" si="0"/>
        <v>1.2753222836095763</v>
      </c>
      <c r="F14" s="5">
        <v>1.03</v>
      </c>
    </row>
    <row r="15" spans="1:9">
      <c r="A15" s="11" t="str">
        <f>Data!A26</f>
        <v>5C-1</v>
      </c>
      <c r="B15" s="8">
        <f>Data!R26</f>
        <v>2900</v>
      </c>
      <c r="C15">
        <f>Data!W26</f>
        <v>2529</v>
      </c>
      <c r="D15" s="5">
        <f t="shared" si="0"/>
        <v>1.1466982997232107</v>
      </c>
      <c r="F15" s="5">
        <v>0.93</v>
      </c>
    </row>
    <row r="16" spans="1:9">
      <c r="A16" s="11" t="str">
        <f>Data!A27</f>
        <v>6C-1</v>
      </c>
      <c r="B16" s="8">
        <f>Data!R27</f>
        <v>3200</v>
      </c>
      <c r="C16">
        <f>Data!W27</f>
        <v>2366</v>
      </c>
      <c r="D16" s="5">
        <f t="shared" si="0"/>
        <v>1.3524936601859678</v>
      </c>
      <c r="F16" s="5">
        <v>1.35</v>
      </c>
    </row>
    <row r="17" spans="1:6">
      <c r="A17" s="11" t="str">
        <f>Data!A28</f>
        <v>6C-2</v>
      </c>
      <c r="B17" s="8">
        <f>Data!R28</f>
        <v>3080</v>
      </c>
      <c r="C17">
        <f>Data!W28</f>
        <v>2331</v>
      </c>
      <c r="D17" s="5">
        <f t="shared" si="0"/>
        <v>1.3213213213213213</v>
      </c>
      <c r="F17" s="5">
        <v>1.32</v>
      </c>
    </row>
    <row r="18" spans="1:6">
      <c r="A18" s="11"/>
      <c r="B18" s="8"/>
      <c r="C18" s="10" t="s">
        <v>96</v>
      </c>
      <c r="D18" s="13">
        <f>AVERAGE(D9:D12)</f>
        <v>1.1642683441021628</v>
      </c>
      <c r="E18" s="10" t="s">
        <v>96</v>
      </c>
      <c r="F18" s="13">
        <f>AVERAGE(F9:F12)</f>
        <v>0.91500000000000004</v>
      </c>
    </row>
    <row r="19" spans="1:6">
      <c r="A19" s="11"/>
      <c r="B19" s="8"/>
      <c r="C19" t="s">
        <v>97</v>
      </c>
      <c r="D19" s="6">
        <f>STDEV(D9:D12)</f>
        <v>8.8024384908413356E-2</v>
      </c>
      <c r="E19" t="s">
        <v>97</v>
      </c>
      <c r="F19" s="6">
        <f>STDEV(F9:F12)</f>
        <v>7.1414284285428509E-2</v>
      </c>
    </row>
    <row r="20" spans="1:6">
      <c r="A20" s="11" t="str">
        <f>Data!A30</f>
        <v>16-sided 1B-1</v>
      </c>
      <c r="B20" s="8">
        <f>Data!R30</f>
        <v>2130</v>
      </c>
      <c r="C20">
        <f>Data!W30</f>
        <v>1630</v>
      </c>
      <c r="D20" s="5">
        <f t="shared" si="0"/>
        <v>1.3067484662576687</v>
      </c>
      <c r="F20" s="5">
        <v>0.96</v>
      </c>
    </row>
    <row r="21" spans="1:6">
      <c r="A21" s="11" t="str">
        <f>Data!A31</f>
        <v>1B-2</v>
      </c>
      <c r="B21" s="8">
        <f>Data!R31</f>
        <v>2100</v>
      </c>
      <c r="C21">
        <f>Data!W31</f>
        <v>1616</v>
      </c>
      <c r="D21" s="5">
        <f t="shared" si="0"/>
        <v>1.2995049504950495</v>
      </c>
      <c r="F21" s="5">
        <v>0.96</v>
      </c>
    </row>
    <row r="22" spans="1:6">
      <c r="A22" s="11" t="str">
        <f>Data!A32</f>
        <v>5B-1</v>
      </c>
      <c r="B22" s="8">
        <f>Data!R32</f>
        <v>3060</v>
      </c>
      <c r="C22">
        <f>Data!W32</f>
        <v>2556</v>
      </c>
      <c r="D22" s="5">
        <f t="shared" si="0"/>
        <v>1.1971830985915493</v>
      </c>
      <c r="F22" s="5">
        <v>0.9</v>
      </c>
    </row>
    <row r="23" spans="1:6">
      <c r="A23" s="11" t="str">
        <f>Data!A33</f>
        <v>5B-2</v>
      </c>
      <c r="B23" s="8">
        <f>Data!R33</f>
        <v>3350</v>
      </c>
      <c r="C23">
        <f>Data!W33</f>
        <v>2556</v>
      </c>
      <c r="D23" s="5">
        <f t="shared" si="0"/>
        <v>1.3106416275430359</v>
      </c>
      <c r="F23" s="5">
        <v>0.99</v>
      </c>
    </row>
    <row r="24" spans="1:6">
      <c r="A24" s="11" t="str">
        <f>Data!A34</f>
        <v>6B-1</v>
      </c>
      <c r="B24" s="8">
        <f>Data!R34</f>
        <v>2740</v>
      </c>
      <c r="C24">
        <f>Data!W34</f>
        <v>2402</v>
      </c>
      <c r="D24" s="5">
        <f t="shared" si="0"/>
        <v>1.1407160699417151</v>
      </c>
      <c r="F24" s="5">
        <v>1.06</v>
      </c>
    </row>
    <row r="25" spans="1:6">
      <c r="A25" s="11" t="str">
        <f>Data!A35</f>
        <v>6B-2</v>
      </c>
      <c r="B25" s="8">
        <f>Data!R35</f>
        <v>3090</v>
      </c>
      <c r="C25">
        <f>Data!W35</f>
        <v>2393</v>
      </c>
      <c r="D25" s="5">
        <f t="shared" si="0"/>
        <v>1.2912661930631006</v>
      </c>
      <c r="F25" s="5">
        <v>1.1599999999999999</v>
      </c>
    </row>
    <row r="26" spans="1:6">
      <c r="A26" s="11"/>
      <c r="B26" s="8"/>
      <c r="C26" s="10" t="s">
        <v>98</v>
      </c>
      <c r="D26" s="13">
        <f>AVERAGE(D20:D25)</f>
        <v>1.2576767343153532</v>
      </c>
      <c r="E26" s="10" t="s">
        <v>98</v>
      </c>
      <c r="F26" s="13">
        <f>AVERAGE(F20:F25)</f>
        <v>1.0049999999999999</v>
      </c>
    </row>
    <row r="27" spans="1:6">
      <c r="A27" s="11"/>
      <c r="B27" s="8"/>
      <c r="C27" t="s">
        <v>97</v>
      </c>
      <c r="D27" s="6">
        <f>STDEV(D20:D25)</f>
        <v>7.131681873441556E-2</v>
      </c>
      <c r="E27" t="s">
        <v>97</v>
      </c>
      <c r="F27" s="6">
        <f>STDEV(F20:F25)</f>
        <v>9.2032602918748291E-2</v>
      </c>
    </row>
    <row r="28" spans="1:6">
      <c r="A28" s="15" t="str">
        <f>Data!A37</f>
        <v>Square</v>
      </c>
      <c r="B28" s="8"/>
      <c r="D28" s="5"/>
      <c r="F28" s="5"/>
    </row>
    <row r="29" spans="1:6">
      <c r="A29" s="11" t="str">
        <f>Data!A38</f>
        <v>1D-1</v>
      </c>
      <c r="B29" s="8">
        <f>Data!R38</f>
        <v>1700</v>
      </c>
      <c r="C29">
        <f>Data!W38</f>
        <v>1654.2365041661301</v>
      </c>
      <c r="D29" s="5">
        <f t="shared" si="0"/>
        <v>1.027664421452807</v>
      </c>
      <c r="F29" s="5">
        <v>0.89</v>
      </c>
    </row>
    <row r="30" spans="1:6">
      <c r="A30" s="11" t="str">
        <f>Data!A39</f>
        <v>1D-2</v>
      </c>
      <c r="B30" s="8">
        <f>Data!R39</f>
        <v>1900</v>
      </c>
      <c r="C30">
        <f>Data!W39</f>
        <v>1666.5856305069008</v>
      </c>
      <c r="D30" s="5">
        <f t="shared" si="0"/>
        <v>1.1400554314284499</v>
      </c>
      <c r="F30" s="5">
        <v>0.98</v>
      </c>
    </row>
    <row r="31" spans="1:6">
      <c r="A31" s="11" t="str">
        <f>Data!A40</f>
        <v>2D-1</v>
      </c>
      <c r="B31" s="8">
        <f>Data!R40</f>
        <v>1990</v>
      </c>
      <c r="C31">
        <f>Data!W40</f>
        <v>1959.5620874334354</v>
      </c>
      <c r="D31" s="5">
        <f t="shared" si="0"/>
        <v>1.0155330176888813</v>
      </c>
      <c r="F31" s="5">
        <v>0.84</v>
      </c>
    </row>
    <row r="32" spans="1:6">
      <c r="A32" s="11" t="str">
        <f>Data!A41</f>
        <v>2D-2</v>
      </c>
      <c r="B32" s="8">
        <f>Data!R41</f>
        <v>2400</v>
      </c>
      <c r="C32">
        <f>Data!W41</f>
        <v>1953.7782614201367</v>
      </c>
      <c r="D32" s="5">
        <f t="shared" si="0"/>
        <v>1.228389140871861</v>
      </c>
      <c r="F32" s="5">
        <v>1.02</v>
      </c>
    </row>
    <row r="33" spans="1:6">
      <c r="A33" s="11" t="str">
        <f>Data!A42</f>
        <v>3D-1</v>
      </c>
      <c r="B33" s="8">
        <f>Data!R42</f>
        <v>2190</v>
      </c>
      <c r="C33">
        <f>Data!W42</f>
        <v>2172.1158473516189</v>
      </c>
      <c r="D33" s="5">
        <f t="shared" si="0"/>
        <v>1.0082335169508507</v>
      </c>
      <c r="F33" s="5">
        <v>0.87</v>
      </c>
    </row>
    <row r="34" spans="1:6">
      <c r="A34" s="11" t="str">
        <f>Data!A43</f>
        <v>5D-1</v>
      </c>
      <c r="B34" s="8">
        <f>Data!R43</f>
        <v>2990</v>
      </c>
      <c r="C34">
        <f>Data!W43</f>
        <v>2592.1269744737438</v>
      </c>
      <c r="D34" s="5">
        <f t="shared" si="0"/>
        <v>1.1534928764849697</v>
      </c>
      <c r="F34" s="5">
        <v>1.01</v>
      </c>
    </row>
    <row r="35" spans="1:6">
      <c r="A35" s="11" t="str">
        <f>Data!A44</f>
        <v>5D-2</v>
      </c>
      <c r="B35" s="8">
        <f>Data!R44</f>
        <v>2420</v>
      </c>
      <c r="C35">
        <f>Data!W44</f>
        <v>2594.8695471612159</v>
      </c>
      <c r="D35" s="5">
        <f t="shared" si="0"/>
        <v>0.93260950349025329</v>
      </c>
      <c r="F35" s="5">
        <v>0.81</v>
      </c>
    </row>
    <row r="36" spans="1:6">
      <c r="A36" s="11" t="str">
        <f>Data!A45</f>
        <v>6D-1</v>
      </c>
      <c r="B36" s="8">
        <f>Data!R45</f>
        <v>2880</v>
      </c>
      <c r="C36">
        <f>Data!W45</f>
        <v>2393.4472263345965</v>
      </c>
      <c r="D36" s="5">
        <f t="shared" si="0"/>
        <v>1.2032853569161523</v>
      </c>
      <c r="F36" s="5">
        <v>1.32</v>
      </c>
    </row>
    <row r="37" spans="1:6">
      <c r="A37" s="11" t="str">
        <f>Data!A46</f>
        <v>6D-2</v>
      </c>
      <c r="B37" s="8">
        <f>Data!R46</f>
        <v>2400</v>
      </c>
      <c r="C37">
        <f>Data!W46</f>
        <v>2395.8125110231322</v>
      </c>
      <c r="D37" s="5">
        <f t="shared" si="0"/>
        <v>1.0017478366765351</v>
      </c>
      <c r="F37" s="5">
        <v>1.1000000000000001</v>
      </c>
    </row>
    <row r="38" spans="1:6">
      <c r="C38" s="10" t="s">
        <v>96</v>
      </c>
      <c r="D38" s="13">
        <f>AVERAGE(D29:D37)</f>
        <v>1.0790012335511956</v>
      </c>
      <c r="E38" s="10" t="s">
        <v>96</v>
      </c>
      <c r="F38" s="13">
        <f>AVERAGE(F29:F37)</f>
        <v>0.98222222222222222</v>
      </c>
    </row>
    <row r="39" spans="1:6">
      <c r="C39" t="s">
        <v>97</v>
      </c>
      <c r="D39" s="6">
        <f>STDEV(D29:D37)</f>
        <v>0.10374866775804777</v>
      </c>
      <c r="E39" t="s">
        <v>97</v>
      </c>
      <c r="F39" s="6">
        <f>STDEV(F29:F37)</f>
        <v>0.15856999856355053</v>
      </c>
    </row>
    <row r="41" spans="1:6">
      <c r="B41" s="9" t="s">
        <v>99</v>
      </c>
      <c r="C41" s="10" t="s">
        <v>100</v>
      </c>
      <c r="D41" s="13">
        <f>(9*D18+6*D26+9*D38)/24</f>
        <v>1.1556452751988477</v>
      </c>
      <c r="E41" s="10" t="s">
        <v>100</v>
      </c>
      <c r="F41" s="13">
        <f>(9*F18+6*F26+9*F38)/24</f>
        <v>0.96270833333333317</v>
      </c>
    </row>
    <row r="42" spans="1:6">
      <c r="B42" s="11" t="s">
        <v>99</v>
      </c>
      <c r="C42" t="s">
        <v>97</v>
      </c>
      <c r="D42" s="6">
        <f>(9*D19+6*D27+9*D39)/24</f>
        <v>8.9744099433526806E-2</v>
      </c>
      <c r="E42" t="s">
        <v>97</v>
      </c>
      <c r="F42" s="6">
        <f>(9*F19+6*F27+9*F39)/24</f>
        <v>0.10925225679805421</v>
      </c>
    </row>
  </sheetData>
  <mergeCells count="4">
    <mergeCell ref="A1:I1"/>
    <mergeCell ref="A2:G2"/>
    <mergeCell ref="C3:F3"/>
    <mergeCell ref="C4:F4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Goode</dc:creator>
  <cp:keywords/>
  <dc:description/>
  <cp:lastModifiedBy>X</cp:lastModifiedBy>
  <cp:revision/>
  <dcterms:created xsi:type="dcterms:W3CDTF">2007-01-11T17:33:03Z</dcterms:created>
  <dcterms:modified xsi:type="dcterms:W3CDTF">2018-11-12T15:58:35Z</dcterms:modified>
  <cp:category/>
  <cp:contentStatus/>
</cp:coreProperties>
</file>